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75" windowWidth="9435" windowHeight="4545" activeTab="0"/>
  </bookViews>
  <sheets>
    <sheet name="Ile zapłacę" sheetId="1" r:id="rId1"/>
    <sheet name="wyliczenia" sheetId="2" r:id="rId2"/>
    <sheet name="lista płac" sheetId="3" r:id="rId3"/>
  </sheets>
  <externalReferences>
    <externalReference r:id="rId6"/>
  </externalReferences>
  <definedNames>
    <definedName name="_xlnm.Print_Area" localSheetId="0">'Ile zapłacę'!$A$1:$G$23</definedName>
    <definedName name="_xlnm.Print_Area" localSheetId="2">'lista płac'!$A$1:$U$39</definedName>
    <definedName name="_xlnm.Print_Area" localSheetId="1">'wyliczenia'!$A$1:$H$33</definedName>
  </definedNames>
  <calcPr fullCalcOnLoad="1"/>
</workbook>
</file>

<file path=xl/comments1.xml><?xml version="1.0" encoding="utf-8"?>
<comments xmlns="http://schemas.openxmlformats.org/spreadsheetml/2006/main">
  <authors>
    <author>ZUS</author>
  </authors>
  <commentList>
    <comment ref="B7" authorId="0">
      <text>
        <r>
          <rPr>
            <b/>
            <sz val="28"/>
            <color indexed="10"/>
            <rFont val="Times New Roman"/>
            <family val="1"/>
          </rPr>
          <t>PROSZĘ WPISAĆ LICZBĘ ZERO, JEŻELI NIE CHCECIE PAŃSTWO USŁUGI BHP</t>
        </r>
        <r>
          <rPr>
            <sz val="36"/>
            <rFont val="Times New Roman"/>
            <family val="1"/>
          </rPr>
          <t xml:space="preserve">
</t>
        </r>
      </text>
    </comment>
    <comment ref="A1" authorId="0">
      <text>
        <r>
          <rPr>
            <b/>
            <sz val="24"/>
            <color indexed="12"/>
            <rFont val="Times New Roman"/>
            <family val="1"/>
          </rPr>
          <t>Porównując ceny świadczenia usług przez PROMESĘ z cenami innych firm proszę zapytać inne firmy outsourcingowe:</t>
        </r>
        <r>
          <rPr>
            <b/>
            <sz val="24"/>
            <rFont val="Times New Roman"/>
            <family val="1"/>
          </rPr>
          <t xml:space="preserve">
1) czy w podawanej cenie są usługi BHP, 
2) czy oprócz podanej ceny nie są pobierane inne opłaty np. za asystę w kontroli PIP lub ZUS, za przygotowanie pism do urzędów, za wręczenie pracownikowi pisma lub za rozmowę dyscyplinującą z nim itp.,
3) czy firma outsourcingowa sama dowozi i odbiera dokumenty z Waszej firmy, czy musicie Państwo sami te dokumenty dostarczać i odbierać z firmy outsourcingowej,
4) ile razy firma outsourcingowa pojawi bezpłatnie w Waszej firmie,
5) czy w cenie jest doradztwo (oprócz prowadzenia spraw).
</t>
        </r>
        <r>
          <rPr>
            <b/>
            <sz val="24"/>
            <color indexed="10"/>
            <rFont val="Times New Roman"/>
            <family val="1"/>
          </rPr>
          <t>U NAS WSZYSKO JEST W CENIE!</t>
        </r>
      </text>
    </comment>
  </commentList>
</comments>
</file>

<file path=xl/comments3.xml><?xml version="1.0" encoding="utf-8"?>
<comments xmlns="http://schemas.openxmlformats.org/spreadsheetml/2006/main">
  <authors>
    <author>Promesa</author>
    <author>ZUS</author>
    <author>PROMESA</author>
    <author>Krzysztof</author>
    <author>Małgorzata Żukowska</author>
    <author>PROMESA B.H.U.</author>
    <author>Krzysztof Wiesław Żukowski</author>
  </authors>
  <commentList>
    <comment ref="E1" authorId="0">
      <text>
        <r>
          <rPr>
            <b/>
            <sz val="36"/>
            <color indexed="10"/>
            <rFont val="Tahoma"/>
            <family val="2"/>
          </rPr>
          <t>Dla wypłat za grudzień dokonanych w styczniu minimalne wynagrodzenie wynosi 936,00 zł.</t>
        </r>
        <r>
          <rPr>
            <sz val="36"/>
            <color indexed="10"/>
            <rFont val="Tahoma"/>
            <family val="2"/>
          </rPr>
          <t xml:space="preserve">
</t>
        </r>
      </text>
    </comment>
    <comment ref="I1" authorId="1">
      <text>
        <r>
          <rPr>
            <b/>
            <sz val="36"/>
            <rFont val="Tahoma"/>
            <family val="2"/>
          </rPr>
          <t>W 2008 r. - 21,00
W 2009 r. - 21,08
W 2010 r. - 21,08
W 2011 r. - 21,00</t>
        </r>
      </text>
    </comment>
    <comment ref="L1" authorId="2">
      <text>
        <r>
          <rPr>
            <b/>
            <sz val="36"/>
            <color indexed="10"/>
            <rFont val="Tahoma"/>
            <family val="2"/>
          </rPr>
          <t>od 01.01.2010 r. - 1,5%</t>
        </r>
        <r>
          <rPr>
            <sz val="36"/>
            <color indexed="10"/>
            <rFont val="Tahoma"/>
            <family val="2"/>
          </rPr>
          <t xml:space="preserve">
</t>
        </r>
      </text>
    </comment>
    <comment ref="N1" authorId="2">
      <text>
        <r>
          <rPr>
            <b/>
            <sz val="36"/>
            <rFont val="Tahoma"/>
            <family val="2"/>
          </rPr>
          <t>Podstawa zmienia się od 01.III., 01.VI., 01.IX., 01.XII.</t>
        </r>
        <r>
          <rPr>
            <sz val="36"/>
            <rFont val="Tahoma"/>
            <family val="2"/>
          </rPr>
          <t xml:space="preserve">
Nie jest to podstawa dla osób prowadzących działalność gospodarczą.</t>
        </r>
      </text>
    </comment>
    <comment ref="O1" authorId="3">
      <text>
        <r>
          <rPr>
            <b/>
            <sz val="36"/>
            <rFont val="Tahoma"/>
            <family val="2"/>
          </rPr>
          <t>I kl. i przy umowie o pracę w celu przuczenia do zawodu</t>
        </r>
      </text>
    </comment>
    <comment ref="P1" authorId="3">
      <text>
        <r>
          <rPr>
            <b/>
            <sz val="36"/>
            <rFont val="Tahoma"/>
            <family val="2"/>
          </rPr>
          <t>II kl.</t>
        </r>
        <r>
          <rPr>
            <sz val="36"/>
            <rFont val="Tahoma"/>
            <family val="2"/>
          </rPr>
          <t xml:space="preserve">
</t>
        </r>
      </text>
    </comment>
    <comment ref="Q1" authorId="3">
      <text>
        <r>
          <rPr>
            <b/>
            <sz val="36"/>
            <rFont val="Tahoma"/>
            <family val="2"/>
          </rPr>
          <t>III kl.</t>
        </r>
        <r>
          <rPr>
            <sz val="36"/>
            <rFont val="Tahoma"/>
            <family val="2"/>
          </rPr>
          <t xml:space="preserve">
</t>
        </r>
      </text>
    </comment>
    <comment ref="S1" authorId="4">
      <text>
        <r>
          <rPr>
            <sz val="36"/>
            <rFont val="Tahoma"/>
            <family val="2"/>
          </rPr>
          <t xml:space="preserve">NIE WIĘCEJ NIŻ </t>
        </r>
        <r>
          <rPr>
            <b/>
            <sz val="36"/>
            <rFont val="Tahoma"/>
            <family val="2"/>
          </rPr>
          <t xml:space="preserve">556,02 </t>
        </r>
        <r>
          <rPr>
            <sz val="36"/>
            <rFont val="Tahoma"/>
            <family val="2"/>
          </rPr>
          <t>ZŁ ZA ZA ROK 2009, 2010 i 2011</t>
        </r>
      </text>
    </comment>
    <comment ref="D2" authorId="5">
      <text>
        <r>
          <rPr>
            <b/>
            <sz val="36"/>
            <color indexed="10"/>
            <rFont val="Tahoma"/>
            <family val="2"/>
          </rPr>
          <t xml:space="preserve">do 31.12.2007 r. -6,50%, 
od 01.01.2008 r. - 4,50% </t>
        </r>
      </text>
    </comment>
    <comment ref="H2" authorId="4">
      <text>
        <r>
          <rPr>
            <b/>
            <sz val="36"/>
            <color indexed="10"/>
            <rFont val="Tahoma"/>
            <family val="2"/>
          </rPr>
          <t xml:space="preserve">Zmiana od 01 kwietnia 2007 z ...% na ...% wg powiadomienia z ZUS, a od 01.04.2008 - ...%
</t>
        </r>
        <r>
          <rPr>
            <b/>
            <sz val="36"/>
            <rFont val="Tahoma"/>
            <family val="2"/>
          </rPr>
          <t>- od 01.04.2007 r. - od 0,67% do 3,60% (śr 1,8%)
- od 1.04.2009 r. - od 0,67% do 3,33% (śr 1,67%)</t>
        </r>
      </text>
    </comment>
    <comment ref="P2" authorId="4">
      <text>
        <r>
          <rPr>
            <b/>
            <sz val="36"/>
            <rFont val="Tahoma"/>
            <family val="2"/>
          </rPr>
          <t xml:space="preserve">ZA ROK 2009, 2010 i 2011: </t>
        </r>
        <r>
          <rPr>
            <sz val="36"/>
            <rFont val="Tahoma"/>
            <family val="2"/>
          </rPr>
          <t xml:space="preserve">
Jeżeli zakład pracy znajduje się w tej samej miejscowości co miejsce zamieszkania pracownika: 
NIE WIĘCEJ NIŻ </t>
        </r>
        <r>
          <rPr>
            <b/>
            <sz val="36"/>
            <rFont val="Tahoma"/>
            <family val="2"/>
          </rPr>
          <t>1.335,00 zł</t>
        </r>
        <r>
          <rPr>
            <sz val="36"/>
            <rFont val="Tahoma"/>
            <family val="2"/>
          </rPr>
          <t xml:space="preserve"> 
A DLA WIELOETATOWCÓW NIE WIĘCEJ NIŻ </t>
        </r>
        <r>
          <rPr>
            <b/>
            <sz val="36"/>
            <rFont val="Tahoma"/>
            <family val="2"/>
          </rPr>
          <t xml:space="preserve">2.002,05  </t>
        </r>
        <r>
          <rPr>
            <sz val="36"/>
            <rFont val="Tahoma"/>
            <family val="2"/>
          </rPr>
          <t xml:space="preserve"> ZŁ.</t>
        </r>
      </text>
    </comment>
    <comment ref="Q2" authorId="4">
      <text>
        <r>
          <rPr>
            <b/>
            <sz val="36"/>
            <rFont val="Tahoma"/>
            <family val="2"/>
          </rPr>
          <t xml:space="preserve">ZA ROK 2009, 2010 i 2011: </t>
        </r>
        <r>
          <rPr>
            <sz val="36"/>
            <rFont val="Tahoma"/>
            <family val="2"/>
          </rPr>
          <t xml:space="preserve">
Jeżeli zakład pracy znajduje się poza miejscowością co zamieszkania pracownika:
NIE WIĘCEJ NIŻ </t>
        </r>
        <r>
          <rPr>
            <b/>
            <sz val="36"/>
            <rFont val="Tahoma"/>
            <family val="2"/>
          </rPr>
          <t xml:space="preserve">1.668,72 </t>
        </r>
        <r>
          <rPr>
            <sz val="36"/>
            <rFont val="Tahoma"/>
            <family val="2"/>
          </rPr>
          <t xml:space="preserve"> ZŁ , A DLA WIELOETATOWCÓW NIE WIĘCEJ NIŻ </t>
        </r>
        <r>
          <rPr>
            <b/>
            <sz val="36"/>
            <rFont val="Tahoma"/>
            <family val="2"/>
          </rPr>
          <t xml:space="preserve">2.502,56 </t>
        </r>
        <r>
          <rPr>
            <sz val="36"/>
            <rFont val="Tahoma"/>
            <family val="2"/>
          </rPr>
          <t xml:space="preserve"> ZŁ</t>
        </r>
      </text>
    </comment>
    <comment ref="U2" authorId="5">
      <text>
        <r>
          <rPr>
            <b/>
            <sz val="36"/>
            <color indexed="10"/>
            <rFont val="Tahoma"/>
            <family val="2"/>
          </rPr>
          <t xml:space="preserve">od 1 maja 2004 r. - 420,00
od 01.11.2009 r. - 520,00
</t>
        </r>
      </text>
    </comment>
    <comment ref="C3" authorId="4">
      <text>
        <r>
          <rPr>
            <b/>
            <sz val="36"/>
            <rFont val="Tahoma"/>
            <family val="2"/>
          </rPr>
          <t>Stawka ulega zmianie</t>
        </r>
        <r>
          <rPr>
            <sz val="36"/>
            <rFont val="Tahoma"/>
            <family val="2"/>
          </rPr>
          <t xml:space="preserve"> od pierwszego dnia miesiąca następującego po miesiącu, w którym została ogłoszona ustawa budżetowa o planowany średnioroczny wskaźnik cen towarów i usług konsupcyjnych ustalony w ustawie budżetowej.
</t>
        </r>
        <r>
          <rPr>
            <sz val="36"/>
            <color indexed="10"/>
            <rFont val="Tahoma"/>
            <family val="2"/>
          </rPr>
          <t xml:space="preserve">Od 14.11.2007 r. wynosi:
</t>
        </r>
        <r>
          <rPr>
            <b/>
            <sz val="36"/>
            <color indexed="10"/>
            <rFont val="Tahoma"/>
            <family val="2"/>
          </rPr>
          <t>0, 5214 zł</t>
        </r>
        <r>
          <rPr>
            <sz val="36"/>
            <color indexed="10"/>
            <rFont val="Tahoma"/>
            <family val="2"/>
          </rPr>
          <t xml:space="preserve"> - dla samochodu osobowego do 900 cm 3, 
</t>
        </r>
        <r>
          <rPr>
            <b/>
            <sz val="36"/>
            <color indexed="10"/>
            <rFont val="Tahoma"/>
            <family val="2"/>
          </rPr>
          <t xml:space="preserve">0, 8358 zł </t>
        </r>
        <r>
          <rPr>
            <sz val="36"/>
            <color indexed="10"/>
            <rFont val="Tahoma"/>
            <family val="2"/>
          </rPr>
          <t xml:space="preserve">- dla samochodu osobowego powyżej 900 cm 3, 
</t>
        </r>
        <r>
          <rPr>
            <b/>
            <sz val="36"/>
            <color indexed="10"/>
            <rFont val="Tahoma"/>
            <family val="2"/>
          </rPr>
          <t>0, 2302 zł</t>
        </r>
        <r>
          <rPr>
            <sz val="36"/>
            <color indexed="10"/>
            <rFont val="Tahoma"/>
            <family val="2"/>
          </rPr>
          <t xml:space="preserve"> - dla motocykla, 
</t>
        </r>
        <r>
          <rPr>
            <b/>
            <sz val="36"/>
            <color indexed="10"/>
            <rFont val="Tahoma"/>
            <family val="2"/>
          </rPr>
          <t>0, 1382 zł</t>
        </r>
        <r>
          <rPr>
            <sz val="36"/>
            <color indexed="10"/>
            <rFont val="Tahoma"/>
            <family val="2"/>
          </rPr>
          <t xml:space="preserve"> - dla motoroweru. </t>
        </r>
        <r>
          <rPr>
            <sz val="36"/>
            <rFont val="Tahoma"/>
            <family val="2"/>
          </rPr>
          <t xml:space="preserve">
</t>
        </r>
        <r>
          <rPr>
            <b/>
            <sz val="36"/>
            <rFont val="Tahoma"/>
            <family val="2"/>
          </rPr>
          <t>Kwotę ryczałtu obniża się o 1/22</t>
        </r>
        <r>
          <rPr>
            <sz val="36"/>
            <rFont val="Tahoma"/>
            <family val="2"/>
          </rPr>
          <t xml:space="preserve"> za każdy roboczy dzień nieobecności pracownika w miejscu pracy z powodu:
1) choroby,
2) urlopu,
3) podróży służbowej trwającej co najmniej 8 godzin,
4) innej nieobecności,
5) nie dysponowania przez pracownika  
     pojazdem do celów służbowych.
Podst. pr. Dz.U. z 2002 r. Nr 27, poz. 271</t>
        </r>
      </text>
    </comment>
    <comment ref="F3" authorId="4">
      <text>
        <r>
          <rPr>
            <b/>
            <sz val="36"/>
            <rFont val="Tahoma"/>
            <family val="2"/>
          </rPr>
          <t xml:space="preserve">Podstawę stanowi przeciętne prognozowane wynagrodzenie miesięczne przyjęte do ustalenia kwoty ograniczenia rocznej podstawy wymiaru składek na ubezpieczenia emerytalne i rentowe za 2011 r. (art.. 18 ust. 8 usus):
 I-XII 2010 r. - </t>
        </r>
        <r>
          <rPr>
            <b/>
            <sz val="48"/>
            <rFont val="Tahoma"/>
            <family val="2"/>
          </rPr>
          <t xml:space="preserve">3146,00 zł </t>
        </r>
        <r>
          <rPr>
            <b/>
            <sz val="36"/>
            <rFont val="Tahoma"/>
            <family val="2"/>
          </rPr>
          <t>(ustawa budżetowa) 
 I-XII 2011 r. - 3359,00 zł</t>
        </r>
      </text>
    </comment>
    <comment ref="H3" authorId="5">
      <text>
        <r>
          <rPr>
            <b/>
            <sz val="36"/>
            <color indexed="10"/>
            <rFont val="Tahoma"/>
            <family val="2"/>
          </rPr>
          <t xml:space="preserve">zima 01.XI.-31.III.
</t>
        </r>
      </text>
    </comment>
    <comment ref="L3" authorId="5">
      <text>
        <r>
          <rPr>
            <b/>
            <sz val="36"/>
            <color indexed="10"/>
            <rFont val="Tahoma"/>
            <family val="2"/>
          </rPr>
          <t>W 2008 r. podstawa wynosiła 2.417,63, a odpis 37,5% - 906,61 zł
W 2009 r. podstawa wynosila 2.666,77 zł, a odpis 37,5% - 1.004,00 zł
W 2010 r. podstawa wynosi 2.794,25 , a odpis 37,5% - 1047,84 zł</t>
        </r>
      </text>
    </comment>
    <comment ref="N3" authorId="6">
      <text>
        <r>
          <rPr>
            <b/>
            <sz val="36"/>
            <rFont val="Tahoma"/>
            <family val="2"/>
          </rPr>
          <t>W 2009 r.,w 2010 r. i w 2011 r. - 18%</t>
        </r>
      </text>
    </comment>
    <comment ref="O3" authorId="0">
      <text>
        <r>
          <rPr>
            <b/>
            <sz val="36"/>
            <rFont val="Tahoma"/>
            <family val="2"/>
          </rPr>
          <t>W 2009 r.,w 2010 r. i w 2011 r.  podatek wynosi 14.839,02 zł + 32% nadwyżki ponad 85.528 zł</t>
        </r>
      </text>
    </comment>
    <comment ref="U3" authorId="0">
      <text>
        <r>
          <rPr>
            <b/>
            <sz val="36"/>
            <color indexed="10"/>
            <rFont val="Tahoma"/>
            <family val="2"/>
          </rPr>
          <t xml:space="preserve">Należy wpisać np. 20% co będzie znaczyło, że dodatek wynosi 20% stawki godzinowej wynagrodzenia zasadniczego. 
W przypadku gdy dodatek wynosi 20% </t>
        </r>
        <r>
          <rPr>
            <b/>
            <u val="single"/>
            <sz val="36"/>
            <color indexed="10"/>
            <rFont val="Tahoma"/>
            <family val="2"/>
          </rPr>
          <t>minimalnego</t>
        </r>
        <r>
          <rPr>
            <b/>
            <sz val="36"/>
            <color indexed="10"/>
            <rFont val="Tahoma"/>
            <family val="2"/>
          </rPr>
          <t xml:space="preserve"> wynagrodzenia - nie należy tu nic wpisywać!</t>
        </r>
      </text>
    </comment>
    <comment ref="D4" authorId="0">
      <text>
        <r>
          <rPr>
            <b/>
            <sz val="36"/>
            <color indexed="10"/>
            <rFont val="Tahoma"/>
            <family val="2"/>
          </rPr>
          <t xml:space="preserve">Kwota ze składkami 13,71%.
Od 01.01.2006 r.
</t>
        </r>
        <r>
          <rPr>
            <sz val="36"/>
            <color indexed="10"/>
            <rFont val="Tahoma"/>
            <family val="2"/>
          </rPr>
          <t>Wysokość wynagrodzenia pracownika w okresie pierwszego roku jego pracy nie może być niższa niż 80 % wysokości minimalnego wynagrodzenia za pracę.
Do okresu, o którym mowa wyżej wlicza się wszystkie okresy, za które była opłacana składka na ubezpieczenie społeczne lub zaopatrzenie emerytalne, z wyłączeniem okresów zatrudnienia na podstawie umowy o pracę w celu przygotowania zawodowego.</t>
        </r>
        <r>
          <rPr>
            <sz val="28"/>
            <rFont val="Tahoma"/>
            <family val="2"/>
          </rPr>
          <t xml:space="preserve">
</t>
        </r>
        <r>
          <rPr>
            <b/>
            <sz val="36"/>
            <rFont val="Tahoma"/>
            <family val="2"/>
          </rPr>
          <t>Od 01.01.2006 r. obowiązuje tylko współczynnik 80%.</t>
        </r>
      </text>
    </comment>
    <comment ref="E4" authorId="0">
      <text>
        <r>
          <rPr>
            <b/>
            <sz val="36"/>
            <color indexed="10"/>
            <rFont val="Tahoma"/>
            <family val="2"/>
          </rPr>
          <t>Kwota bez składek 13,71%.
Od 01.01.2006 r. obowiązuje tylko współczynnik 80%</t>
        </r>
        <r>
          <rPr>
            <b/>
            <sz val="36"/>
            <rFont val="Tahoma"/>
            <family val="2"/>
          </rPr>
          <t xml:space="preserve">
</t>
        </r>
      </text>
    </comment>
    <comment ref="H4" authorId="5">
      <text>
        <r>
          <rPr>
            <b/>
            <sz val="36"/>
            <color indexed="10"/>
            <rFont val="Tahoma"/>
            <family val="2"/>
          </rPr>
          <t>do 30.06.2007 - 6,5%
do 31.12.2007 - 3,5%
od 01.01.2008 - 1,5%</t>
        </r>
      </text>
    </comment>
    <comment ref="R4" authorId="1">
      <text>
        <r>
          <rPr>
            <b/>
            <sz val="36"/>
            <rFont val="Tahoma"/>
            <family val="2"/>
          </rPr>
          <t>W 2008 r. -  85.290,00 zl
w 2009 r. -  95790,00 zł
w 2010 r. -  94380,00 zł
w 2011 r. - 100770,00</t>
        </r>
      </text>
    </comment>
    <comment ref="S4" authorId="0">
      <text>
        <r>
          <rPr>
            <b/>
            <sz val="36"/>
            <color indexed="10"/>
            <rFont val="Tahoma"/>
            <family val="2"/>
          </rPr>
          <t>Do 30.06.2007 r. - 18,71%</t>
        </r>
        <r>
          <rPr>
            <sz val="36"/>
            <color indexed="10"/>
            <rFont val="Tahoma"/>
            <family val="2"/>
          </rPr>
          <t xml:space="preserve">
</t>
        </r>
        <r>
          <rPr>
            <b/>
            <sz val="36"/>
            <color indexed="10"/>
            <rFont val="Tahoma"/>
            <family val="2"/>
          </rPr>
          <t>Od 01.07. do 31.12.2007 r. - 15,71%
Od 01.01.2008 r. - 13,71%</t>
        </r>
      </text>
    </comment>
    <comment ref="K13" authorId="3">
      <text>
        <r>
          <rPr>
            <b/>
            <sz val="36"/>
            <color indexed="10"/>
            <rFont val="Tahoma"/>
            <family val="2"/>
          </rPr>
          <t>Wpisz liczbę miesięcy, za które przyznano nagrodę.</t>
        </r>
        <r>
          <rPr>
            <sz val="36"/>
            <color indexed="10"/>
            <rFont val="Tahoma"/>
            <family val="2"/>
          </rPr>
          <t xml:space="preserve">
</t>
        </r>
      </text>
    </comment>
    <comment ref="B14" authorId="3">
      <text>
        <r>
          <rPr>
            <b/>
            <sz val="36"/>
            <color indexed="10"/>
            <rFont val="Tahoma"/>
            <family val="2"/>
          </rPr>
          <t>Liczba nominalnych godzin przepracowanych ma wpływ na formuły tylko przy stawce godzinowej (nie miesięcznej) oraz  jeżeli ta liczba godzin jest wyższa od nominalnej.</t>
        </r>
        <r>
          <rPr>
            <sz val="36"/>
            <color indexed="10"/>
            <rFont val="Tahoma"/>
            <family val="2"/>
          </rPr>
          <t xml:space="preserve">
</t>
        </r>
      </text>
    </comment>
    <comment ref="F15" authorId="0">
      <text>
        <r>
          <rPr>
            <b/>
            <sz val="28"/>
            <color indexed="10"/>
            <rFont val="Tahoma"/>
            <family val="2"/>
          </rPr>
          <t>Ta komórka powinna być wypełniona dla prawidłowego działania formuł do obliczania:
1) wynagr za nieobecności płatne,
2) wynagrodzenia za normalny czas przepracowany.</t>
        </r>
        <r>
          <rPr>
            <sz val="28"/>
            <color indexed="10"/>
            <rFont val="Tahoma"/>
            <family val="2"/>
          </rPr>
          <t xml:space="preserve">
</t>
        </r>
      </text>
    </comment>
    <comment ref="T16" authorId="0">
      <text>
        <r>
          <rPr>
            <b/>
            <sz val="36"/>
            <color indexed="10"/>
            <rFont val="Tahoma"/>
            <family val="2"/>
          </rPr>
          <t>Jeżeli pracownikiem jest młodociany to wybierz właściwe: 
I kl lub II kl lub III kl</t>
        </r>
        <r>
          <rPr>
            <sz val="36"/>
            <color indexed="10"/>
            <rFont val="Tahoma"/>
            <family val="2"/>
          </rPr>
          <t xml:space="preserve">
</t>
        </r>
      </text>
    </comment>
    <comment ref="T17" authorId="3">
      <text>
        <r>
          <rPr>
            <b/>
            <sz val="36"/>
            <color indexed="10"/>
            <rFont val="Tahoma"/>
            <family val="2"/>
          </rPr>
          <t>Tu można wpisać nazwę stanowiska pracy</t>
        </r>
        <r>
          <rPr>
            <sz val="36"/>
            <color indexed="10"/>
            <rFont val="Tahoma"/>
            <family val="2"/>
          </rPr>
          <t xml:space="preserve">
</t>
        </r>
      </text>
    </comment>
    <comment ref="C18" authorId="0">
      <text>
        <r>
          <rPr>
            <b/>
            <sz val="28"/>
            <rFont val="Tahoma"/>
            <family val="2"/>
          </rPr>
          <t xml:space="preserve">   § 1. Przy ustalaniu wynagrodzenia:
   1) za czas pozostawania bez pracy, przysługującego pracownikowi przywróconemu do pracy (art. 47 i 57 § 1 i 2 Kodeksu pracy), 
   2) za czas do rozwiązania umowy o pracę, jeżeli został zastosowany okres wypowiedzenia krótszy od wymaganego (art. 49 Kodeksu pracy), 
   3) za okres wypowiedzenia lub za okres równy okresowi wypowiedzenia, przysługującego pracownikowi odwołanemu ze stanowiska (art. 70 § 2 i art. 
       72 § 2 Kodeksu pracy)
   stosuje się zasady obowiązujące przy ustalaniu </t>
        </r>
        <r>
          <rPr>
            <b/>
            <sz val="28"/>
            <color indexed="10"/>
            <rFont val="Tahoma"/>
            <family val="2"/>
          </rPr>
          <t>ekwiwalentu pieniężnego za urlop</t>
        </r>
        <r>
          <rPr>
            <b/>
            <sz val="28"/>
            <rFont val="Tahoma"/>
            <family val="2"/>
          </rPr>
          <t xml:space="preserve">. 
§ 2. 1. Zasady obowiązujące przy ustalaniu </t>
        </r>
        <r>
          <rPr>
            <b/>
            <sz val="28"/>
            <color indexed="10"/>
            <rFont val="Tahoma"/>
            <family val="2"/>
          </rPr>
          <t>ekwiwalentu pieniężnego za urlop</t>
        </r>
        <r>
          <rPr>
            <b/>
            <sz val="28"/>
            <rFont val="Tahoma"/>
            <family val="2"/>
          </rPr>
          <t xml:space="preserve"> stosuje się także w celu obliczenia:
   1) odszkodowania przysługującego pracownikowi z tytułu skróconego okresu wypowiedzenia umowy o pracę zawartej na czas nie określony 
        (art. 361 § 1 Kodeksu pracy), 
   2) odszkodowania przysługującego pracownikowi w związku z rozwiązaniem umowy o pracę z naruszeniem przepisów prawa pracy (art. 471, 50 § 1 
        i 4 oraz art. 58 i 60 Kodeksu pracy), 
   3) odszkodowania przysługującego pracownikowi, który rozwiązał umowę o pracę bez wypowiedzenia z powodu ciężkiego naruszenia przez 
        pracodawcę podstawowych obowiązków wobec pracownika (art. 55 § 11 Kodeksu pracy), 
   4)  odszkodowania przysługującego pracodawcy w razie nieuzasadnionego rozwiązania przez pracownika umowy o pracę bez wypowiedzenia 
        (art. 612 § 1 Kodeksu pracy), 
   5) odszkodowania przysługującego pracownikowi, którego umowa o pracę wygasła z powodu śmierci pracodawcy (art. 632 § 2 Kodeksu pracy), 
   6) odprawy przysługującej pracownikowi, którego stosunek pracy rozwiązał się wskutek wygaśnięcia mandatu (art. 75 Kodeksu pracy), 
   7) odprawy pieniężnej przysługującej pracownikowi w związku z przejściem na emeryturę lub rentę (art. 921 § 1 Kodeksu pracy), 
   8) odprawy pośmiertnej przysługującej rodzinie zmarłego pracownika (art. 93 § 2 Kodeksu pracy), 
   9) odszkodowania przysługującego pracownikowi w związku z niewydaniem w terminie lub wydaniem niewłaściwego świadectwa pracy 
        (art. 99 § 2 Kodeksu pracy), 
   10) kwoty jednodniowego wynagrodzenia do celów określonych w art. 108 § 3 Kodeksu pracy, 
   11) odszkodowania przysługującego pracownikowi młodocianemu w przypadku rozwiązania z nim umowy o pracę z powodu braku możliwości 
          zapewnienia innej pracy nie zagrażającej zdrowiu (art. 201 § 2 Kodeksu pracy).
</t>
        </r>
      </text>
    </comment>
    <comment ref="D18" authorId="0">
      <text>
        <r>
          <rPr>
            <b/>
            <sz val="28"/>
            <rFont val="Tahoma"/>
            <family val="2"/>
          </rPr>
          <t xml:space="preserve">   § 5. Przy ustalaniu wynagrodzenia za czas zwolnienia od pracy oraz za czas niewykonywania pracy, gdy przepisy przewidują zachowanie przez 
pracownika prawa do wynagrodzenia, stosuje się zasady obowiązujące przy ustalaniu wynagrodzenia za urlop, z tym że składniki wynagrodzenia ustalane w 
wysokości przeciętnej oblicza się z miesiąca, w którym przypadło zwolnienie od pracy lub okres niewykonywania pracy. 
</t>
        </r>
      </text>
    </comment>
    <comment ref="T18" authorId="3">
      <text>
        <r>
          <rPr>
            <b/>
            <sz val="36"/>
            <color indexed="10"/>
            <rFont val="Tahoma"/>
            <family val="2"/>
          </rPr>
          <t>Zatrudniony od:</t>
        </r>
        <r>
          <rPr>
            <sz val="36"/>
            <color indexed="10"/>
            <rFont val="Tahoma"/>
            <family val="2"/>
          </rPr>
          <t xml:space="preserve">
</t>
        </r>
      </text>
    </comment>
    <comment ref="U18" authorId="3">
      <text>
        <r>
          <rPr>
            <b/>
            <sz val="36"/>
            <color indexed="10"/>
            <rFont val="Tahoma"/>
            <family val="2"/>
          </rPr>
          <t>Zatrudniony do:</t>
        </r>
        <r>
          <rPr>
            <sz val="36"/>
            <color indexed="10"/>
            <rFont val="Tahoma"/>
            <family val="2"/>
          </rPr>
          <t xml:space="preserve">
</t>
        </r>
      </text>
    </comment>
    <comment ref="G20" authorId="3">
      <text>
        <r>
          <rPr>
            <b/>
            <sz val="36"/>
            <color indexed="10"/>
            <rFont val="Tahoma"/>
            <family val="2"/>
          </rPr>
          <t xml:space="preserve">Tu należy wpisać:
1) kwoty potrącane za pisemną zgodą pracownika oraz kary pieniężne przewidziane w art. 108 k.p.,
2) kwoty równe 40% (bo 60% jest potrącone poniżej): 
  - nagrody z zakładowego funduszu nagród, 
  - dodatkowego wynagrodzenia rocznego, 
  - należności przysługujących pracownikom z  
    tytułu udziału w zysku lub w nadwyżce 
    bilansowej, 
minus 18,71% składek i minus zaliczka na podatek, bowiem podlegają one egzekucji na zaspokojenie </t>
        </r>
        <r>
          <rPr>
            <b/>
            <u val="single"/>
            <sz val="36"/>
            <color indexed="10"/>
            <rFont val="Tahoma"/>
            <family val="2"/>
          </rPr>
          <t>świadczeń alimentacyjnych</t>
        </r>
        <r>
          <rPr>
            <b/>
            <sz val="36"/>
            <color indexed="10"/>
            <rFont val="Tahoma"/>
            <family val="2"/>
          </rPr>
          <t xml:space="preserve"> do pełnej wysokości
3) kwoty wypłacone pracownikowi w poprzednim terminie płatności za okres nieobecności w pracy, za który pracownik nie zachowuje prawa do wynagrodzenia.</t>
        </r>
      </text>
    </comment>
    <comment ref="G21" authorId="3">
      <text>
        <r>
          <rPr>
            <b/>
            <sz val="36"/>
            <color indexed="10"/>
            <rFont val="Tahoma"/>
            <family val="2"/>
          </rPr>
          <t xml:space="preserve">Tu należy wpisać:
 1)  60% - jeżeli egzekwowane są należności na mocy tytułów wykonawczych na zaspokojenie świadczeń alimentacyjnych,
  2)  50% - jeżeli egzekwowane są należności  na mocy tytułów wykonawczych na pokrycie należności innych niż świadczenia alimentacyjne,
  3) 60% - jeżeli występują łącznie sumy, o których mowa w pkt 1 i 2.
</t>
        </r>
      </text>
    </comment>
    <comment ref="D22" authorId="0">
      <text>
        <r>
          <rPr>
            <b/>
            <sz val="48"/>
            <color indexed="10"/>
            <rFont val="Arial"/>
            <family val="2"/>
          </rPr>
          <t>126 dni</t>
        </r>
        <r>
          <rPr>
            <b/>
            <sz val="36"/>
            <color indexed="10"/>
            <rFont val="Arial"/>
            <family val="2"/>
          </rPr>
          <t xml:space="preserve"> przy pierwszym porodzie,
</t>
        </r>
        <r>
          <rPr>
            <b/>
            <sz val="48"/>
            <color indexed="10"/>
            <rFont val="Arial"/>
            <family val="2"/>
          </rPr>
          <t xml:space="preserve">140 dni </t>
        </r>
        <r>
          <rPr>
            <b/>
            <sz val="36"/>
            <color indexed="10"/>
            <rFont val="Arial"/>
            <family val="2"/>
          </rPr>
          <t xml:space="preserve">przy każdym następnym,
</t>
        </r>
        <r>
          <rPr>
            <b/>
            <sz val="48"/>
            <color indexed="10"/>
            <rFont val="Arial"/>
            <family val="2"/>
          </rPr>
          <t>196 dni</t>
        </r>
        <r>
          <rPr>
            <b/>
            <sz val="36"/>
            <color indexed="10"/>
            <rFont val="Arial"/>
            <family val="2"/>
          </rPr>
          <t xml:space="preserve"> w przypadku urodzenia więcej niż jednego dziecka przy jednym porodzie.</t>
        </r>
        <r>
          <rPr>
            <sz val="48"/>
            <color indexed="10"/>
            <rFont val="Tahoma"/>
            <family val="2"/>
          </rPr>
          <t xml:space="preserve">
</t>
        </r>
      </text>
    </comment>
    <comment ref="C24" authorId="3">
      <text>
        <r>
          <rPr>
            <b/>
            <sz val="36"/>
            <color indexed="10"/>
            <rFont val="Tahoma"/>
            <family val="2"/>
          </rPr>
          <t>Wypełnia się w przypadku rozpoczęcia lub zakończenia pracy w danym miesiącu poprzez wpisanie liczby godzin nominalnych przypadających w danym miesiącu przed lub po zatrudnieniu.</t>
        </r>
        <r>
          <rPr>
            <sz val="36"/>
            <color indexed="10"/>
            <rFont val="Tahoma"/>
            <family val="2"/>
          </rPr>
          <t xml:space="preserve">
</t>
        </r>
      </text>
    </comment>
    <comment ref="E25" authorId="3">
      <text>
        <r>
          <rPr>
            <b/>
            <sz val="36"/>
            <color indexed="10"/>
            <rFont val="Tahoma"/>
            <family val="2"/>
          </rPr>
          <t>Wpisz przyznany limit kilometrów</t>
        </r>
        <r>
          <rPr>
            <sz val="36"/>
            <color indexed="10"/>
            <rFont val="Tahoma"/>
            <family val="2"/>
          </rPr>
          <t xml:space="preserve">
</t>
        </r>
      </text>
    </comment>
    <comment ref="F25" authorId="4">
      <text>
        <r>
          <t/>
        </r>
      </text>
    </comment>
    <comment ref="C29" authorId="0">
      <text>
        <r>
          <rPr>
            <b/>
            <sz val="36"/>
            <color indexed="10"/>
            <rFont val="Tahoma"/>
            <family val="2"/>
          </rPr>
          <t>wpisywać, jeżeli podstawę stanowią wyłącznie przychody z 2008 r. (czyli wyłącznie z 13.71% składek)</t>
        </r>
      </text>
    </comment>
    <comment ref="D29" authorId="2">
      <text>
        <r>
          <rPr>
            <b/>
            <sz val="36"/>
            <color indexed="10"/>
            <rFont val="Tahoma"/>
            <family val="2"/>
          </rPr>
          <t xml:space="preserve">wpisz liczbę dni urlopu wychowawczego w danym miesiącu
</t>
        </r>
        <r>
          <rPr>
            <sz val="36"/>
            <color indexed="10"/>
            <rFont val="Tahoma"/>
            <family val="2"/>
          </rPr>
          <t xml:space="preserve">
</t>
        </r>
      </text>
    </comment>
    <comment ref="B30" authorId="0">
      <text>
        <r>
          <rPr>
            <b/>
            <sz val="36"/>
            <color indexed="10"/>
            <rFont val="Tahoma"/>
            <family val="2"/>
          </rPr>
          <t xml:space="preserve">stawka miesięczna
</t>
        </r>
      </text>
    </comment>
    <comment ref="E30" authorId="0">
      <text>
        <r>
          <rPr>
            <b/>
            <sz val="36"/>
            <color indexed="10"/>
            <rFont val="Tahoma"/>
            <family val="2"/>
          </rPr>
          <t>Liczba dni kalendarzowych nieprzepracowanych w danym miesiącu</t>
        </r>
        <r>
          <rPr>
            <sz val="36"/>
            <color indexed="10"/>
            <rFont val="Tahoma"/>
            <family val="2"/>
          </rPr>
          <t xml:space="preserve">
</t>
        </r>
      </text>
    </comment>
    <comment ref="B31" authorId="0">
      <text>
        <r>
          <rPr>
            <b/>
            <sz val="36"/>
            <color indexed="10"/>
            <rFont val="Tahoma"/>
            <family val="2"/>
          </rPr>
          <t xml:space="preserve">stawka godzinowa
</t>
        </r>
      </text>
    </comment>
    <comment ref="C31" authorId="0">
      <text>
        <r>
          <rPr>
            <b/>
            <sz val="36"/>
            <color indexed="10"/>
            <rFont val="Tahoma"/>
            <family val="2"/>
          </rPr>
          <t>Wpisywać faktyczną podstawę po odjęciu składek (nawet, jeżeli jest niższa niż minimalne wynagrodzenie w proporcji do etatu</t>
        </r>
      </text>
    </comment>
    <comment ref="D31" authorId="0">
      <text>
        <r>
          <rPr>
            <b/>
            <sz val="48"/>
            <color indexed="10"/>
            <rFont val="Tahoma"/>
            <family val="2"/>
          </rPr>
          <t>90% za pierwsze 3 miesiące, 75% za pozostały okres, 100% w okresie ciąży</t>
        </r>
        <r>
          <rPr>
            <sz val="48"/>
            <color indexed="10"/>
            <rFont val="Tahoma"/>
            <family val="2"/>
          </rPr>
          <t xml:space="preserve">
</t>
        </r>
      </text>
    </comment>
    <comment ref="E31" authorId="0">
      <text>
        <r>
          <rPr>
            <b/>
            <sz val="36"/>
            <color indexed="10"/>
            <rFont val="Tahoma"/>
            <family val="2"/>
          </rPr>
          <t>Liczba dni kalendarzowych, za które przysługuje zasiłek wyrównawczy</t>
        </r>
        <r>
          <rPr>
            <sz val="36"/>
            <color indexed="10"/>
            <rFont val="Tahoma"/>
            <family val="2"/>
          </rPr>
          <t xml:space="preserve">
</t>
        </r>
      </text>
    </comment>
    <comment ref="C32" authorId="0">
      <text>
        <r>
          <rPr>
            <b/>
            <sz val="36"/>
            <color indexed="10"/>
            <rFont val="Tahoma"/>
            <family val="2"/>
          </rPr>
          <t>100% zasiłek dzienny nie niższy niż minimalne wynagrodzenie w proporcji do etatu</t>
        </r>
        <r>
          <rPr>
            <sz val="36"/>
            <color indexed="10"/>
            <rFont val="Tahoma"/>
            <family val="2"/>
          </rPr>
          <t xml:space="preserve">
</t>
        </r>
      </text>
    </comment>
    <comment ref="E32" authorId="0">
      <text>
        <r>
          <rPr>
            <b/>
            <sz val="36"/>
            <color indexed="10"/>
            <rFont val="Tahoma"/>
            <family val="2"/>
          </rPr>
          <t>100% podstawa pomniejszona o nieobecności oraz o podstawę składek E pomniejszoną o skł fin przez pracownika</t>
        </r>
        <r>
          <rPr>
            <sz val="36"/>
            <color indexed="10"/>
            <rFont val="Tahoma"/>
            <family val="2"/>
          </rPr>
          <t xml:space="preserve">
</t>
        </r>
      </text>
    </comment>
    <comment ref="G35" authorId="2">
      <text>
        <r>
          <rPr>
            <b/>
            <sz val="36"/>
            <rFont val="Tahoma"/>
            <family val="2"/>
          </rPr>
          <t>Wpisz 1 - jeżeli za tego pracownika należy opłacać składkę na FEP</t>
        </r>
        <r>
          <rPr>
            <sz val="36"/>
            <rFont val="Tahoma"/>
            <family val="2"/>
          </rPr>
          <t xml:space="preserve">
</t>
        </r>
      </text>
    </comment>
    <comment ref="G38" authorId="2">
      <text>
        <r>
          <rPr>
            <b/>
            <sz val="36"/>
            <rFont val="Tahoma"/>
            <family val="2"/>
          </rPr>
          <t>Składki zdrowotne nierozliczone w pod. doch. bez fin. z dochodu pracownika</t>
        </r>
        <r>
          <rPr>
            <sz val="36"/>
            <rFont val="Tahoma"/>
            <family val="2"/>
          </rPr>
          <t xml:space="preserve">
</t>
        </r>
      </text>
    </comment>
    <comment ref="P39" authorId="0">
      <text>
        <r>
          <rPr>
            <b/>
            <sz val="28"/>
            <color indexed="10"/>
            <rFont val="Tahoma"/>
            <family val="2"/>
          </rPr>
          <t>Kwota składek E,R,Ch odliczanych od przychodu dla obliczenia podstawy opodatkowania</t>
        </r>
        <r>
          <rPr>
            <sz val="28"/>
            <color indexed="10"/>
            <rFont val="Tahoma"/>
            <family val="2"/>
          </rPr>
          <t xml:space="preserve">
</t>
        </r>
      </text>
    </comment>
    <comment ref="K973" authorId="3">
      <text>
        <r>
          <rPr>
            <b/>
            <sz val="36"/>
            <color indexed="10"/>
            <rFont val="Tahoma"/>
            <family val="2"/>
          </rPr>
          <t>Wpisz liczbę miesięcy, za które przyznano nagrodę.</t>
        </r>
        <r>
          <rPr>
            <sz val="36"/>
            <color indexed="10"/>
            <rFont val="Tahoma"/>
            <family val="2"/>
          </rPr>
          <t xml:space="preserve">
</t>
        </r>
      </text>
    </comment>
    <comment ref="B974" authorId="3">
      <text>
        <r>
          <rPr>
            <b/>
            <sz val="36"/>
            <color indexed="10"/>
            <rFont val="Tahoma"/>
            <family val="2"/>
          </rPr>
          <t>Liczba nominalnych godzin przepracowanych ma wpływ na formuły tylko przy stawce godzinowej (nie miesięcznej) oraz  jeżeli ta liczba godzin jest wyższa od nominalnej.</t>
        </r>
        <r>
          <rPr>
            <sz val="36"/>
            <color indexed="10"/>
            <rFont val="Tahoma"/>
            <family val="2"/>
          </rPr>
          <t xml:space="preserve">
</t>
        </r>
      </text>
    </comment>
    <comment ref="F975" authorId="0">
      <text>
        <r>
          <rPr>
            <b/>
            <sz val="28"/>
            <color indexed="10"/>
            <rFont val="Tahoma"/>
            <family val="2"/>
          </rPr>
          <t>Ta komórka powinna być wypełniona dla prawidłowego działania formuł do obliczania:
1) wynagr za nieobecności płatne,
2) wynagrodzenia za normalny czas przepracowany.</t>
        </r>
        <r>
          <rPr>
            <sz val="28"/>
            <color indexed="10"/>
            <rFont val="Tahoma"/>
            <family val="2"/>
          </rPr>
          <t xml:space="preserve">
</t>
        </r>
      </text>
    </comment>
    <comment ref="C978" authorId="0">
      <text>
        <r>
          <rPr>
            <b/>
            <sz val="28"/>
            <rFont val="Tahoma"/>
            <family val="2"/>
          </rPr>
          <t xml:space="preserve">   § 1. Przy ustalaniu wynagrodzenia:
   1) za czas pozostawania bez pracy, przysługującego pracownikowi przywróconemu do pracy (art. 47 i 57 § 1 i 2 Kodeksu pracy), 
   2) za czas do rozwiązania umowy o pracę, jeżeli został zastosowany okres wypowiedzenia krótszy od wymaganego (art. 49 Kodeksu pracy), 
   3) za okres wypowiedzenia lub za okres równy okresowi wypowiedzenia, przysługującego pracownikowi odwołanemu ze stanowiska (art. 70 § 2 i art. 
       72 § 2 Kodeksu pracy)
   stosuje się zasady obowiązujące przy ustalaniu </t>
        </r>
        <r>
          <rPr>
            <b/>
            <sz val="28"/>
            <color indexed="10"/>
            <rFont val="Tahoma"/>
            <family val="2"/>
          </rPr>
          <t>ekwiwalentu pieniężnego za urlop</t>
        </r>
        <r>
          <rPr>
            <b/>
            <sz val="28"/>
            <rFont val="Tahoma"/>
            <family val="2"/>
          </rPr>
          <t xml:space="preserve">. 
§ 2. 1. Zasady obowiązujące przy ustalaniu </t>
        </r>
        <r>
          <rPr>
            <b/>
            <sz val="28"/>
            <color indexed="10"/>
            <rFont val="Tahoma"/>
            <family val="2"/>
          </rPr>
          <t>ekwiwalentu pieniężnego za urlop</t>
        </r>
        <r>
          <rPr>
            <b/>
            <sz val="28"/>
            <rFont val="Tahoma"/>
            <family val="2"/>
          </rPr>
          <t xml:space="preserve"> stosuje się także w celu obliczenia:
   1) odszkodowania przysługującego pracownikowi z tytułu skróconego okresu wypowiedzenia umowy o pracę zawartej na czas nie określony 
        (art. 361 § 1 Kodeksu pracy), 
   2) odszkodowania przysługującego pracownikowi w związku z rozwiązaniem umowy o pracę z naruszeniem przepisów prawa pracy (art. 471, 50 § 1 
        i 4 oraz art. 58 i 60 Kodeksu pracy), 
   3) odszkodowania przysługującego pracownikowi, który rozwiązał umowę o pracę bez wypowiedzenia z powodu ciężkiego naruszenia przez 
        pracodawcę podstawowych obowiązków wobec pracownika (art. 55 § 11 Kodeksu pracy), 
   4)  odszkodowania przysługującego pracodawcy w razie nieuzasadnionego rozwiązania przez pracownika umowy o pracę bez wypowiedzenia 
        (art. 612 § 1 Kodeksu pracy), 
   5) odszkodowania przysługującego pracownikowi, którego umowa o pracę wygasła z powodu śmierci pracodawcy (art. 632 § 2 Kodeksu pracy), 
   6) odprawy przysługującej pracownikowi, którego stosunek pracy rozwiązał się wskutek wygaśnięcia mandatu (art. 75 Kodeksu pracy), 
   7) odprawy pieniężnej przysługującej pracownikowi w związku z przejściem na emeryturę lub rentę (art. 921 § 1 Kodeksu pracy), 
   8) odprawy pośmiertnej przysługującej rodzinie zmarłego pracownika (art. 93 § 2 Kodeksu pracy), 
   9) odszkodowania przysługującego pracownikowi w związku z niewydaniem w terminie lub wydaniem niewłaściwego świadectwa pracy 
        (art. 99 § 2 Kodeksu pracy), 
   10) kwoty jednodniowego wynagrodzenia do celów określonych w art. 108 § 3 Kodeksu pracy, 
   11) odszkodowania przysługującego pracownikowi młodocianemu w przypadku rozwiązania z nim umowy o pracę z powodu braku możliwości 
          zapewnienia innej pracy nie zagrażającej zdrowiu (art. 201 § 2 Kodeksu pracy).
</t>
        </r>
      </text>
    </comment>
    <comment ref="D978" authorId="0">
      <text>
        <r>
          <rPr>
            <b/>
            <sz val="28"/>
            <rFont val="Tahoma"/>
            <family val="2"/>
          </rPr>
          <t xml:space="preserve">   § 5. Przy ustalaniu wynagrodzenia za czas zwolnienia od pracy oraz za czas niewykonywania pracy, gdy przepisy przewidują zachowanie przez 
pracownika prawa do wynagrodzenia, stosuje się zasady obowiązujące przy ustalaniu wynagrodzenia za urlop, z tym że składniki wynagrodzenia ustalane w 
wysokości przeciętnej oblicza się z miesiąca, w którym przypadło zwolnienie od pracy lub okres niewykonywania pracy. 
</t>
        </r>
      </text>
    </comment>
    <comment ref="G980" authorId="3">
      <text>
        <r>
          <rPr>
            <b/>
            <sz val="36"/>
            <color indexed="10"/>
            <rFont val="Tahoma"/>
            <family val="2"/>
          </rPr>
          <t xml:space="preserve">Tu należy wpisać:
1) kwoty potrącane za pisemną zgodą pracownika oraz kary pieniężne przewidziane w art. 108 k.p.,
2) kwoty równe 40% (bo 60% jest potrącone poniżej): 
  - nagrody z zakładowego funduszu nagród, 
  - dodatkowego wynagrodzenia rocznego, 
  - należności przysługujących pracownikom z  
    tytułu udziału w zysku lub w nadwyżce 
    bilansowej, 
minus 18,71% składek i minus zaliczka na podatek, bowiem podlegają one egzekucji na zaspokojenie </t>
        </r>
        <r>
          <rPr>
            <b/>
            <u val="single"/>
            <sz val="36"/>
            <color indexed="10"/>
            <rFont val="Tahoma"/>
            <family val="2"/>
          </rPr>
          <t>świadczeń alimentacyjnych</t>
        </r>
        <r>
          <rPr>
            <b/>
            <sz val="36"/>
            <color indexed="10"/>
            <rFont val="Tahoma"/>
            <family val="2"/>
          </rPr>
          <t xml:space="preserve"> do pełnej wysokości
3) kwoty wypłacone pracownikowi w poprzednim terminie płatności za okres nieobecności w pracy, za który pracownik nie zachowuje prawa do wynagrodzenia.</t>
        </r>
      </text>
    </comment>
    <comment ref="G981" authorId="3">
      <text>
        <r>
          <rPr>
            <b/>
            <sz val="36"/>
            <color indexed="10"/>
            <rFont val="Tahoma"/>
            <family val="2"/>
          </rPr>
          <t xml:space="preserve">Tu należy wpisać:
 1)  60% - jeżeli egzekwowane są należności na mocy tytułów wykonawczych na zaspokojenie świadczeń alimentacyjnych,
  2)  50% - jeżeli egzekwowane są należności  na mocy tytułów wykonawczych na pokrycie należności innych niż świadczenia alimentacyjne,
  3) 60% - jeżeli występują łącznie sumy, o których mowa w pkt 1 i 2.
</t>
        </r>
      </text>
    </comment>
    <comment ref="D982" authorId="0">
      <text>
        <r>
          <rPr>
            <b/>
            <sz val="48"/>
            <color indexed="10"/>
            <rFont val="Arial"/>
            <family val="2"/>
          </rPr>
          <t>126 dni</t>
        </r>
        <r>
          <rPr>
            <b/>
            <sz val="36"/>
            <color indexed="10"/>
            <rFont val="Arial"/>
            <family val="2"/>
          </rPr>
          <t xml:space="preserve"> przy pierwszym porodzie,
</t>
        </r>
        <r>
          <rPr>
            <b/>
            <sz val="48"/>
            <color indexed="10"/>
            <rFont val="Arial"/>
            <family val="2"/>
          </rPr>
          <t xml:space="preserve">140 dni </t>
        </r>
        <r>
          <rPr>
            <b/>
            <sz val="36"/>
            <color indexed="10"/>
            <rFont val="Arial"/>
            <family val="2"/>
          </rPr>
          <t xml:space="preserve">przy każdym następnym,
</t>
        </r>
        <r>
          <rPr>
            <b/>
            <sz val="48"/>
            <color indexed="10"/>
            <rFont val="Arial"/>
            <family val="2"/>
          </rPr>
          <t>196 dni</t>
        </r>
        <r>
          <rPr>
            <b/>
            <sz val="36"/>
            <color indexed="10"/>
            <rFont val="Arial"/>
            <family val="2"/>
          </rPr>
          <t xml:space="preserve"> w przypadku urodzenia więcej niż jednego dziecka przy jednym porodzie.</t>
        </r>
        <r>
          <rPr>
            <sz val="48"/>
            <color indexed="10"/>
            <rFont val="Tahoma"/>
            <family val="2"/>
          </rPr>
          <t xml:space="preserve">
</t>
        </r>
      </text>
    </comment>
    <comment ref="C984" authorId="3">
      <text>
        <r>
          <rPr>
            <b/>
            <sz val="36"/>
            <color indexed="10"/>
            <rFont val="Tahoma"/>
            <family val="2"/>
          </rPr>
          <t>Wypełnia się w przypadku rozpoczęcia lub zakończenia pracy w danym miesiącu poprzez wpisanie liczby godzin nominalnych przypadających w danym miesiącu przed lub po zatrudnieniu.</t>
        </r>
        <r>
          <rPr>
            <sz val="36"/>
            <color indexed="10"/>
            <rFont val="Tahoma"/>
            <family val="2"/>
          </rPr>
          <t xml:space="preserve">
</t>
        </r>
      </text>
    </comment>
    <comment ref="N984" authorId="3">
      <text>
        <r>
          <rPr>
            <b/>
            <sz val="36"/>
            <color indexed="10"/>
            <rFont val="Tahoma"/>
            <family val="2"/>
          </rPr>
          <t xml:space="preserve">liczba dodatków
</t>
        </r>
      </text>
    </comment>
    <comment ref="O984" authorId="3">
      <text>
        <r>
          <rPr>
            <b/>
            <sz val="36"/>
            <color indexed="10"/>
            <rFont val="Tahoma"/>
            <family val="2"/>
          </rPr>
          <t>Dod z tyt kosztów dojazdu do szkoły</t>
        </r>
        <r>
          <rPr>
            <b/>
            <u val="single"/>
            <sz val="36"/>
            <color indexed="10"/>
            <rFont val="Tahoma"/>
            <family val="2"/>
          </rPr>
          <t xml:space="preserve"> ponadpodst i ponadgimn</t>
        </r>
        <r>
          <rPr>
            <b/>
            <sz val="36"/>
            <color indexed="10"/>
            <rFont val="Tahoma"/>
            <family val="2"/>
          </rPr>
          <t xml:space="preserve"> = 40 zł i z tyt zamieszkania w miejscowości w której znajduje się taka szkoła = 80 zł. Nie wypłaca się za VII i VIII każdego roku.</t>
        </r>
      </text>
    </comment>
    <comment ref="P984" authorId="3">
      <text>
        <r>
          <rPr>
            <b/>
            <sz val="36"/>
            <color indexed="10"/>
            <rFont val="Tahoma"/>
            <family val="2"/>
          </rPr>
          <t>dod z tyt kształcenia i rehab dziecka niepełnosprawnego = 50 zł do uk 5 lat i 70 zł powyżej 5 lat do uk 24 lat</t>
        </r>
      </text>
    </comment>
    <comment ref="E985" authorId="3">
      <text>
        <r>
          <rPr>
            <b/>
            <sz val="36"/>
            <color indexed="10"/>
            <rFont val="Tahoma"/>
            <family val="2"/>
          </rPr>
          <t>Wpisz przyznany limit kilometrów</t>
        </r>
        <r>
          <rPr>
            <sz val="36"/>
            <color indexed="10"/>
            <rFont val="Tahoma"/>
            <family val="2"/>
          </rPr>
          <t xml:space="preserve">
</t>
        </r>
      </text>
    </comment>
    <comment ref="F985" authorId="4">
      <text>
        <r>
          <t/>
        </r>
      </text>
    </comment>
    <comment ref="O986" authorId="3">
      <text>
        <r>
          <rPr>
            <b/>
            <sz val="36"/>
            <color indexed="10"/>
            <rFont val="Tahoma"/>
            <family val="2"/>
          </rPr>
          <t xml:space="preserve">liczba dodatków
</t>
        </r>
      </text>
    </comment>
    <comment ref="P986" authorId="3">
      <text>
        <r>
          <rPr>
            <b/>
            <sz val="36"/>
            <color indexed="10"/>
            <rFont val="Tahoma"/>
            <family val="2"/>
          </rPr>
          <t xml:space="preserve">dod z tyt rozpoczęcia roku szkolnego w szkole podstawowej, ponadpodstawowej i ponadgimnazjalnej. Wypłaca się we wrześniu=1 x 90 zł </t>
        </r>
      </text>
    </comment>
    <comment ref="R986" authorId="3">
      <text>
        <r>
          <rPr>
            <b/>
            <sz val="36"/>
            <color indexed="10"/>
            <rFont val="Tahoma"/>
            <family val="2"/>
          </rPr>
          <t>Do 31.08.2006 r. zas rodz = 43 zł na 1 i 2 dziecko, 
53 zł na 3 dziecko, 
66 zł na 4 i kolejne dziecko.
Dochód uprawniający do zas. rodz. za 2004 r. - 504 zł (lub 583 zł, jeżeli dziecko jest niepełnosprawne) (patrz ustawa)</t>
        </r>
      </text>
    </comment>
    <comment ref="S986" authorId="3">
      <text>
        <r>
          <rPr>
            <b/>
            <sz val="36"/>
            <color indexed="10"/>
            <rFont val="Tahoma"/>
            <family val="2"/>
          </rPr>
          <t>zas pielęgn = 144 zł</t>
        </r>
      </text>
    </comment>
    <comment ref="C989" authorId="0">
      <text>
        <r>
          <rPr>
            <b/>
            <sz val="36"/>
            <color indexed="10"/>
            <rFont val="Tahoma"/>
            <family val="2"/>
          </rPr>
          <t>wpisywać, jeżeli podstawę stanowią wyłącznie przychody z 2008 r. (czyli wyłącznie z 13.71% składek)</t>
        </r>
      </text>
    </comment>
    <comment ref="D989" authorId="2">
      <text>
        <r>
          <rPr>
            <b/>
            <sz val="36"/>
            <color indexed="10"/>
            <rFont val="Tahoma"/>
            <family val="2"/>
          </rPr>
          <t xml:space="preserve">wpisz liczbę dni urlopu wychowawczego w danym miesiącu
</t>
        </r>
        <r>
          <rPr>
            <sz val="36"/>
            <color indexed="10"/>
            <rFont val="Tahoma"/>
            <family val="2"/>
          </rPr>
          <t xml:space="preserve">
</t>
        </r>
      </text>
    </comment>
    <comment ref="B990" authorId="0">
      <text>
        <r>
          <rPr>
            <b/>
            <sz val="36"/>
            <color indexed="10"/>
            <rFont val="Tahoma"/>
            <family val="2"/>
          </rPr>
          <t xml:space="preserve">stawka miesięczna
</t>
        </r>
      </text>
    </comment>
    <comment ref="E990" authorId="0">
      <text>
        <r>
          <rPr>
            <b/>
            <sz val="36"/>
            <color indexed="10"/>
            <rFont val="Tahoma"/>
            <family val="2"/>
          </rPr>
          <t>Liczba dni kalendarzowych nieprzepracowanych w danym miesiącu</t>
        </r>
        <r>
          <rPr>
            <sz val="36"/>
            <color indexed="10"/>
            <rFont val="Tahoma"/>
            <family val="2"/>
          </rPr>
          <t xml:space="preserve">
</t>
        </r>
      </text>
    </comment>
    <comment ref="B991" authorId="0">
      <text>
        <r>
          <rPr>
            <b/>
            <sz val="36"/>
            <color indexed="10"/>
            <rFont val="Tahoma"/>
            <family val="2"/>
          </rPr>
          <t xml:space="preserve">stawka godzinowa
</t>
        </r>
      </text>
    </comment>
    <comment ref="C991" authorId="0">
      <text>
        <r>
          <rPr>
            <b/>
            <sz val="36"/>
            <color indexed="10"/>
            <rFont val="Tahoma"/>
            <family val="2"/>
          </rPr>
          <t>Wpisywać faktyczną podstawę po odjęciu składek (nawet, jeżeli jest niższa niż minimalne wynagrodzenie w proporcji do etatu</t>
        </r>
      </text>
    </comment>
    <comment ref="D991" authorId="0">
      <text>
        <r>
          <rPr>
            <b/>
            <sz val="48"/>
            <color indexed="10"/>
            <rFont val="Tahoma"/>
            <family val="2"/>
          </rPr>
          <t>90% za pierwsze 3 miesiące, 75% za pozostały okres, 100% w okresie ciąży</t>
        </r>
        <r>
          <rPr>
            <sz val="48"/>
            <color indexed="10"/>
            <rFont val="Tahoma"/>
            <family val="2"/>
          </rPr>
          <t xml:space="preserve">
</t>
        </r>
      </text>
    </comment>
    <comment ref="E991" authorId="0">
      <text>
        <r>
          <rPr>
            <b/>
            <sz val="36"/>
            <color indexed="10"/>
            <rFont val="Tahoma"/>
            <family val="2"/>
          </rPr>
          <t>Liczba dni kalendarzowych, za które przysługuje zasiłek wyrównawczy</t>
        </r>
        <r>
          <rPr>
            <sz val="36"/>
            <color indexed="10"/>
            <rFont val="Tahoma"/>
            <family val="2"/>
          </rPr>
          <t xml:space="preserve">
</t>
        </r>
      </text>
    </comment>
    <comment ref="C992" authorId="0">
      <text>
        <r>
          <rPr>
            <b/>
            <sz val="36"/>
            <color indexed="10"/>
            <rFont val="Tahoma"/>
            <family val="2"/>
          </rPr>
          <t>100% zasiłek dzienny nie niższy niż minimalne wynagrodzenie w proporcji do etatu</t>
        </r>
        <r>
          <rPr>
            <sz val="36"/>
            <color indexed="10"/>
            <rFont val="Tahoma"/>
            <family val="2"/>
          </rPr>
          <t xml:space="preserve">
</t>
        </r>
      </text>
    </comment>
    <comment ref="E992" authorId="0">
      <text>
        <r>
          <rPr>
            <b/>
            <sz val="36"/>
            <color indexed="10"/>
            <rFont val="Tahoma"/>
            <family val="2"/>
          </rPr>
          <t>100% podstawa pomniejszona o nieobecności oraz o podstawę składek E pomniejszoną o skł fin przez pracownika</t>
        </r>
        <r>
          <rPr>
            <sz val="36"/>
            <color indexed="10"/>
            <rFont val="Tahoma"/>
            <family val="2"/>
          </rPr>
          <t xml:space="preserve">
</t>
        </r>
      </text>
    </comment>
    <comment ref="G995" authorId="2">
      <text>
        <r>
          <rPr>
            <b/>
            <sz val="36"/>
            <rFont val="Tahoma"/>
            <family val="2"/>
          </rPr>
          <t>Wpisz 1 - jeżeli za tego pracownika należy opłacać składkę na FEP</t>
        </r>
        <r>
          <rPr>
            <sz val="36"/>
            <rFont val="Tahoma"/>
            <family val="2"/>
          </rPr>
          <t xml:space="preserve">
</t>
        </r>
      </text>
    </comment>
    <comment ref="G998" authorId="2">
      <text>
        <r>
          <rPr>
            <b/>
            <sz val="36"/>
            <rFont val="Tahoma"/>
            <family val="2"/>
          </rPr>
          <t>Składki zdrowotne nierozliczone w pod. doch. bez fin. z dochodu pracownika</t>
        </r>
        <r>
          <rPr>
            <sz val="36"/>
            <rFont val="Tahoma"/>
            <family val="2"/>
          </rPr>
          <t xml:space="preserve">
</t>
        </r>
      </text>
    </comment>
    <comment ref="P999" authorId="0">
      <text>
        <r>
          <rPr>
            <b/>
            <sz val="28"/>
            <color indexed="10"/>
            <rFont val="Tahoma"/>
            <family val="2"/>
          </rPr>
          <t>Kwota składek E,R,Ch odliczanych od przychodu dla obliczenia podstawy opodatkowania</t>
        </r>
        <r>
          <rPr>
            <sz val="28"/>
            <color indexed="10"/>
            <rFont val="Tahoma"/>
            <family val="2"/>
          </rPr>
          <t xml:space="preserve">
</t>
        </r>
      </text>
    </comment>
    <comment ref="F1005" authorId="4">
      <text>
        <r>
          <rPr>
            <b/>
            <sz val="36"/>
            <rFont val="Tahoma"/>
            <family val="2"/>
          </rPr>
          <t>W 2010 r. - 2592,46
W 2011 r. - 2704,31</t>
        </r>
      </text>
    </comment>
    <comment ref="B1007" authorId="5">
      <text>
        <r>
          <rPr>
            <b/>
            <sz val="36"/>
            <color indexed="10"/>
            <rFont val="Tahoma"/>
            <family val="2"/>
          </rPr>
          <t>od 01.07.2007 r. 10% (6,5%/3,5%)</t>
        </r>
        <r>
          <rPr>
            <sz val="36"/>
            <color indexed="10"/>
            <rFont val="Tahoma"/>
            <family val="2"/>
          </rPr>
          <t xml:space="preserve">
</t>
        </r>
        <r>
          <rPr>
            <b/>
            <sz val="36"/>
            <color indexed="10"/>
            <rFont val="Tahoma"/>
            <family val="2"/>
          </rPr>
          <t>Od 01.01.2008 - 6% (4,5%/1,5%)</t>
        </r>
      </text>
    </comment>
    <comment ref="U1011" authorId="5">
      <text>
        <r>
          <rPr>
            <b/>
            <sz val="36"/>
            <color indexed="10"/>
            <rFont val="Tahoma"/>
            <family val="2"/>
          </rPr>
          <t>Tu jest sumowanie tylko pracowników</t>
        </r>
        <r>
          <rPr>
            <sz val="36"/>
            <color indexed="10"/>
            <rFont val="Tahoma"/>
            <family val="2"/>
          </rPr>
          <t xml:space="preserve">
</t>
        </r>
      </text>
    </comment>
  </commentList>
</comments>
</file>

<file path=xl/sharedStrings.xml><?xml version="1.0" encoding="utf-8"?>
<sst xmlns="http://schemas.openxmlformats.org/spreadsheetml/2006/main" count="5586" uniqueCount="335">
  <si>
    <t>KALKULATOR CEN USŁUG "PROMESY" od I 2010 r.</t>
  </si>
  <si>
    <t>Lp.</t>
  </si>
  <si>
    <t>Rodzaj usługi</t>
  </si>
  <si>
    <t>% udziału w cenie podstawowej</t>
  </si>
  <si>
    <t>Cena netto za 1 zatrudnionego</t>
  </si>
  <si>
    <t>Liczba zatrudnionych</t>
  </si>
  <si>
    <t>Wynagrodzenie netto ogółem</t>
  </si>
  <si>
    <t>Wynagrodzenie brutto ogółem</t>
  </si>
  <si>
    <t>Prowadzenie spraw kadrowych</t>
  </si>
  <si>
    <t>Prowadzenie spraw z zakresu ZUS (bez Rp-7 i innych dokumentów za okresy przed rozpoczęciem prowadzenia usługi i bez opracowań zbiorczych)</t>
  </si>
  <si>
    <t>Prowadzenie spraw z zakresu BHP (bez szkoleń okresowych)</t>
  </si>
  <si>
    <t>Przygotowywanie list płac i wypłat jednorazowych</t>
  </si>
  <si>
    <t>Razem:</t>
  </si>
  <si>
    <t>Różnicowanie cen wg liczby zatrudnionych do:</t>
  </si>
  <si>
    <t>Szkolenia okresowe BHP (netto za 1 osobę) nie mniej niż 500,00 zł plus VAT</t>
  </si>
  <si>
    <t>dla stalych klientów z pełnym pakietem usług</t>
  </si>
  <si>
    <t>dla innych firm</t>
  </si>
  <si>
    <t>zatrudnionych</t>
  </si>
  <si>
    <t>zł</t>
  </si>
  <si>
    <t>Opracowywanie regulaminów, zakresów czynności i zbiorów dokumentów - wg umowy.</t>
  </si>
  <si>
    <t>20 do 100</t>
  </si>
  <si>
    <t>Stawki zgodne z umową stałą. Umowa może przewidywać odstępstwa od w/w cennika.</t>
  </si>
  <si>
    <t>Porównanie do minimalnego wynagrodzenia (bez podatku VAT):</t>
  </si>
  <si>
    <t>Wynagrodzenie minimalne netto i wynagrodzenia za świadczenie usług:</t>
  </si>
  <si>
    <t>Stosunek procentowy do minimalnego wynagrodzenia:</t>
  </si>
  <si>
    <t>Ile trzeba zapłacić za pracownika, któremu pracodawca płaciłby na rękę tyle ile w kol. 2 (wynagrodzenie brutto pluis całe składki ZUS)</t>
  </si>
  <si>
    <t>Ile brutto trzeba byłoby płacić pracownikowi (łącznie ze składkami płatnika składek):</t>
  </si>
  <si>
    <t>Minimalne wynagrodzenie:</t>
  </si>
  <si>
    <t>Wpisz aktualne minimalne wynagrodzenie pracownikow w roku:</t>
  </si>
  <si>
    <t>Nom.liczba godz.</t>
  </si>
  <si>
    <t>Minimalne wynagr.</t>
  </si>
  <si>
    <t>Współczynnik do ekwiwalentu za urlop:</t>
  </si>
  <si>
    <t>Składki na FEP</t>
  </si>
  <si>
    <t>Najniższe wynagr. uczniów:</t>
  </si>
  <si>
    <t>Ulga podatkowa</t>
  </si>
  <si>
    <t>liczba dni kalendarz.</t>
  </si>
  <si>
    <t>styczeń</t>
  </si>
  <si>
    <t>I kl</t>
  </si>
  <si>
    <t>50% skladki E:</t>
  </si>
  <si>
    <t>50% skladki R finans przez płatnika składek:</t>
  </si>
  <si>
    <t>100% składki Ch:</t>
  </si>
  <si>
    <t>100% skladki W:</t>
  </si>
  <si>
    <t>100% skladki Z:</t>
  </si>
  <si>
    <t>składki na FP:</t>
  </si>
  <si>
    <t>składki na FGŚP:</t>
  </si>
  <si>
    <t>Koszty uzyskania:</t>
  </si>
  <si>
    <t>Kwota świadczenia pielęgnacyjnego od 01.05.2004 r. (do skł E i R przy zas wych):</t>
  </si>
  <si>
    <t>luty</t>
  </si>
  <si>
    <t>II kl</t>
  </si>
  <si>
    <t>Stawka za 1 km ekw. na jazdy lokalne:</t>
  </si>
  <si>
    <t>Przeciętne wynagr. dla celów em.-rent.</t>
  </si>
  <si>
    <t>Ryczałt na środki BHP</t>
  </si>
  <si>
    <t>Podstawa świadczenia urlopowego:</t>
  </si>
  <si>
    <t>ZFŚS nie jest tworzony.</t>
  </si>
  <si>
    <t>Stopa procentowa podatku i granica opodatkowania daną stopą procentową:</t>
  </si>
  <si>
    <t>Maksymalna składka Zdrowotna potrącana z podatku:</t>
  </si>
  <si>
    <t>marzec</t>
  </si>
  <si>
    <t>III kl</t>
  </si>
  <si>
    <t>80% minimalnego wynagrodzenia:</t>
  </si>
  <si>
    <t>część skladki R finans.przez ubezpieczonego:</t>
  </si>
  <si>
    <t>Obniżanie wynagrodzenia do podstawy wymiaru zasiłków chorobowych</t>
  </si>
  <si>
    <t>kwiecień</t>
  </si>
  <si>
    <t>maj</t>
  </si>
  <si>
    <t xml:space="preserve">LISTA WYPŁAT NR </t>
  </si>
  <si>
    <t>1-I/2011</t>
  </si>
  <si>
    <t>czerwiec</t>
  </si>
  <si>
    <t xml:space="preserve">    WYNAGRODZEŃ PRACOWNIKÓW:</t>
  </si>
  <si>
    <t>lipiec</t>
  </si>
  <si>
    <t>formuły zmienione wskutek zmiany skł rentowej od 01.07.2007</t>
  </si>
  <si>
    <t>ZA MIESIĄC:</t>
  </si>
  <si>
    <t>2011 r.</t>
  </si>
  <si>
    <t>sierpień</t>
  </si>
  <si>
    <t>L.p.</t>
  </si>
  <si>
    <t xml:space="preserve">           Liczba godzin przepracowanych</t>
  </si>
  <si>
    <t>Liczba norm-
alnych godz.
pracy w niedziele
i święta
ze 100% dod.</t>
  </si>
  <si>
    <t>Nominalna liczba godzin pracy w m-cu kalendarz.</t>
  </si>
  <si>
    <t>Wypłata na rachunek bankowy:</t>
  </si>
  <si>
    <t>Nazwisko i imię:</t>
  </si>
  <si>
    <t>wrzesień</t>
  </si>
  <si>
    <t>w normal. czasie pracy bez nadgodzin</t>
  </si>
  <si>
    <t>w porze nocnej</t>
  </si>
  <si>
    <t>liczba nadgodzin</t>
  </si>
  <si>
    <t>Przychody finansowane przez pracodawcę:</t>
  </si>
  <si>
    <t>w tym opodatkowane:</t>
  </si>
  <si>
    <t>październik</t>
  </si>
  <si>
    <t>z 50 %</t>
  </si>
  <si>
    <t>z 100 %</t>
  </si>
  <si>
    <t xml:space="preserve">Przychody opodatkowane ze składkami na ubezp. społ. i ub. zdrowotne finansowane przez pracodawcę: </t>
  </si>
  <si>
    <t>listopad</t>
  </si>
  <si>
    <t>dodatkiem</t>
  </si>
  <si>
    <t>za normalny czas</t>
  </si>
  <si>
    <t>za nadgodziny</t>
  </si>
  <si>
    <t>premia %</t>
  </si>
  <si>
    <t>nagrody (licz.m-cy)</t>
  </si>
  <si>
    <t>dodatek za pracę w porze nocnej</t>
  </si>
  <si>
    <t>wynagrodzenie za urlop</t>
  </si>
  <si>
    <t>nieobecn. płatna</t>
  </si>
  <si>
    <t>100% dod.za pracę niedz. i święto</t>
  </si>
  <si>
    <t>ekwiwalent  za urlop</t>
  </si>
  <si>
    <t>ubezp. na życie z pod. i ZUS</t>
  </si>
  <si>
    <t>wyrównanie wynagrodzenia</t>
  </si>
  <si>
    <t>Świadczenia opod i oskładk (wyżywienie, bony, zakwaterowanie itp.)</t>
  </si>
  <si>
    <t>grudzień</t>
  </si>
  <si>
    <t>przepracowany</t>
  </si>
  <si>
    <t>łącznie z dodat.</t>
  </si>
  <si>
    <t>formuła na liczenie wynagr z art. 92 z 100% ze składkami</t>
  </si>
  <si>
    <t>Liczba godzin urlopu w naturze</t>
  </si>
  <si>
    <t>Liczba godzin urlopu do ekwiw.</t>
  </si>
  <si>
    <t>Liczba godz. nieobec. płatnych</t>
  </si>
  <si>
    <t>Nominalna liczba godzin przypadająca w okresie choroby, macierzyństwa i urlopu wychow.</t>
  </si>
  <si>
    <t>Liczba dni choroby ZUS</t>
  </si>
  <si>
    <t>formuła na liczenie wynagr z art. 92 z 100% bez składek</t>
  </si>
  <si>
    <t>Liczba dni choroby do 33 dni</t>
  </si>
  <si>
    <t>Przychody fin.przez pracodawcę opodatkowane:</t>
  </si>
  <si>
    <t>Przychody fin. przez pracodawcę nieopodatkowane:</t>
  </si>
  <si>
    <t>tylko ze skł. na ub. zdrowotne</t>
  </si>
  <si>
    <t xml:space="preserve"> bez składki na ubezp. społ. i zdrowotne:</t>
  </si>
  <si>
    <t>ze składkami</t>
  </si>
  <si>
    <t>(bez składki na ubezp. społ. i zdrowotne)</t>
  </si>
  <si>
    <t>wynagr. z art. 92 Kp. (do 33 dni )</t>
  </si>
  <si>
    <t>Ryczałt na jazdy lokalne</t>
  </si>
  <si>
    <t>w naturze tylko z pod</t>
  </si>
  <si>
    <t>wartość posiłków</t>
  </si>
  <si>
    <t>Inne przychody pieniężne</t>
  </si>
  <si>
    <t>Świad. urlopowe</t>
  </si>
  <si>
    <t>zakwaterowanie</t>
  </si>
  <si>
    <t>Pozostałe przychody pieniężne nie pomniejszane o nieobecności i pomniejszane o nieobecności</t>
  </si>
  <si>
    <t>Ekwiwalent za środki bhp</t>
  </si>
  <si>
    <t>Wartość świadczeń w naturze z ZFŚS (do 380zł):</t>
  </si>
  <si>
    <t>niedopłaty wynagr. netto</t>
  </si>
  <si>
    <t>Liczba dni zas.opiek.</t>
  </si>
  <si>
    <t>Liczba dni zasiłku macierz.</t>
  </si>
  <si>
    <t>Liczba dni świadczenia rehabilit.</t>
  </si>
  <si>
    <t>Komornik(kwota / %)</t>
  </si>
  <si>
    <t>5%,6%,7%,37,5%</t>
  </si>
  <si>
    <t>Zasiłki refundowane z ZUS:</t>
  </si>
  <si>
    <t>w tym nieopodatkowane</t>
  </si>
  <si>
    <t>Godz. nieob.</t>
  </si>
  <si>
    <t>Liczba godzin nominalnych w danym miesiącu, przed lub po dniu zatrudnienienia:</t>
  </si>
  <si>
    <t>Przeciętne miesięczne wynagrodzenie przyjmowane do ekwiwalentu za urlop</t>
  </si>
  <si>
    <t>Stawka miesięczna ekwiw. za środki bhp</t>
  </si>
  <si>
    <t>Pozostałe przychody pieniężne nieopodatk. i nieoskładk.</t>
  </si>
  <si>
    <t>Zasiłki opodatkowane finansowane z ubezp. chorob. ogółem:</t>
  </si>
  <si>
    <t>usprawiedl./</t>
  </si>
  <si>
    <t>chorobowy</t>
  </si>
  <si>
    <t>św. rehabilit.</t>
  </si>
  <si>
    <t>opiekuńcze</t>
  </si>
  <si>
    <t>macierzyński</t>
  </si>
  <si>
    <t>wyrównawczy</t>
  </si>
  <si>
    <t>Godzina rob. 
z 3 m-cy liczona jak urlop</t>
  </si>
  <si>
    <t>Przychody do Pit-11</t>
  </si>
  <si>
    <t>/ nieuspraw.</t>
  </si>
  <si>
    <t>Liczba dni delegacji do oblicz. ryczałtu. za jazdy lokalne</t>
  </si>
  <si>
    <t>Niniejszym kwituję</t>
  </si>
  <si>
    <t>Przychody ogółem:</t>
  </si>
  <si>
    <t>Potrącenia</t>
  </si>
  <si>
    <t>Świadcz. niepieniężne, skł. fin przez pracow. i cała skł Zdr bez fin. z dochodu pracownika</t>
  </si>
  <si>
    <t>Kwoty nie doliczane do netto</t>
  </si>
  <si>
    <t>Razem potrącenia</t>
  </si>
  <si>
    <t>Pod.finans. z z-du</t>
  </si>
  <si>
    <t>Pod.finans. z ZUS</t>
  </si>
  <si>
    <t>Ogółem podatek:</t>
  </si>
  <si>
    <t>odbiór w/w kwoty netto</t>
  </si>
  <si>
    <t>Stawka osob. m-czna/godz.</t>
  </si>
  <si>
    <t>100% podstawa ze skł ZUS wyn z art. 92 K.p. i zasiłków ( 13,71% )</t>
  </si>
  <si>
    <t>Liczba dni urlopu wychowawczego</t>
  </si>
  <si>
    <t>100% podst. bez skł. ZUS zasiłku wyrówn. z 12 m-cy</t>
  </si>
  <si>
    <t>Wartość fin. przez pracod. posiłków (wolne od skł. 190 zł)</t>
  </si>
  <si>
    <t>Wartość w naturze świadczeń brutto:</t>
  </si>
  <si>
    <t>zaliczki, pożyczki, nadpł. netto</t>
  </si>
  <si>
    <t>zajęcia komornicze</t>
  </si>
  <si>
    <t>Skł. Zdr płacona przez ubezpiecz.</t>
  </si>
  <si>
    <t>skł. na życie finans. przez pracownika</t>
  </si>
  <si>
    <t>wynagrodzenia za m-c</t>
  </si>
  <si>
    <t>Pod. doch. po rozlicz. skł. zdr.</t>
  </si>
  <si>
    <t xml:space="preserve"> 100% podstawa bez skł ZUS wyn z art. 92 K.p. i zasiłków</t>
  </si>
  <si>
    <t>100% podstawa bez skł. ZUS świadczenia rehabilit.</t>
  </si>
  <si>
    <t xml:space="preserve">Rozliczenie pod
z PiT-40 (+ lub -) </t>
  </si>
  <si>
    <t>nadpłada (-)</t>
  </si>
  <si>
    <t>Potwierdzam także odbiór</t>
  </si>
  <si>
    <t>zakwaterowania (wolne od pod. 0 zł):</t>
  </si>
  <si>
    <t>niedopłata (+)</t>
  </si>
  <si>
    <t>raportów RMUA za miesiąc:</t>
  </si>
  <si>
    <t>Podstawa wymiaru składek (bez fin. Z budżetu Państwa):</t>
  </si>
  <si>
    <t>Podstawa wym. składek fin z budżetu Państwa:</t>
  </si>
  <si>
    <t>Og. składki na ub. społ.</t>
  </si>
  <si>
    <t>Składki na:</t>
  </si>
  <si>
    <t>Pod. doch. wpłacany do Urz. Sk.</t>
  </si>
  <si>
    <t>Składki ubezpieczenia społecznego (płacone przez pracownika / zakład)</t>
  </si>
  <si>
    <t>Składki ubezpieczenia zdrowotnego</t>
  </si>
  <si>
    <t>Kwota składki na FEP</t>
  </si>
  <si>
    <t>emerytalnych</t>
  </si>
  <si>
    <t>rentowych</t>
  </si>
  <si>
    <t>chorobowych</t>
  </si>
  <si>
    <t>wypadkowych</t>
  </si>
  <si>
    <t>zdrowotnych</t>
  </si>
  <si>
    <t>Podstawa skł. E</t>
  </si>
  <si>
    <t>Podstawa skł. R</t>
  </si>
  <si>
    <t>fin. przez pracownika</t>
  </si>
  <si>
    <t>FP</t>
  </si>
  <si>
    <t>Składka Zdr 7,75%</t>
  </si>
  <si>
    <t>Podstawa opodatkowania przych. fin. przez pracodawcę</t>
  </si>
  <si>
    <t>Emerytalna</t>
  </si>
  <si>
    <t>Rentowa</t>
  </si>
  <si>
    <t>Chorobowa</t>
  </si>
  <si>
    <t>Wypadkowa</t>
  </si>
  <si>
    <t>Zdrowotna</t>
  </si>
  <si>
    <t>100% podstawa po przeliczeniu ze skł. ZUS</t>
  </si>
  <si>
    <t>x</t>
  </si>
  <si>
    <t>X</t>
  </si>
  <si>
    <t>Kwoty składek:</t>
  </si>
  <si>
    <t>Kwota skł. E</t>
  </si>
  <si>
    <t>Kwota skł. R</t>
  </si>
  <si>
    <t>fin. przez z-d pracy</t>
  </si>
  <si>
    <t>Składka Zdr cała</t>
  </si>
  <si>
    <t>pracownik</t>
  </si>
  <si>
    <t>FGŚP</t>
  </si>
  <si>
    <t>do urlopu</t>
  </si>
  <si>
    <t>Składki og. bez fin. z budż. Państwa</t>
  </si>
  <si>
    <t>fin. z budżetu Państwa (bez skł Zdr)</t>
  </si>
  <si>
    <t>Skł. Zdr finans. z budżetu Państwa</t>
  </si>
  <si>
    <t>Etat</t>
  </si>
  <si>
    <t>Koszty uzyskania</t>
  </si>
  <si>
    <t>Stawka podatku</t>
  </si>
  <si>
    <t>Ogółem koszty narzutów</t>
  </si>
  <si>
    <t>zakład pracy</t>
  </si>
  <si>
    <t>Skł Zdr do odliczenia w PIT-11</t>
  </si>
  <si>
    <t>bez Z</t>
  </si>
  <si>
    <t>z Z</t>
  </si>
  <si>
    <t>do zasiłku</t>
  </si>
  <si>
    <t>Wynagr. netto</t>
  </si>
  <si>
    <t xml:space="preserve">data i podpis </t>
  </si>
  <si>
    <t>pracownika</t>
  </si>
  <si>
    <t>Liczba osób:</t>
  </si>
  <si>
    <t>Kwota wypłat:</t>
  </si>
  <si>
    <t>Zasiłki nieopodat. fin. z budżetu Państwa.:</t>
  </si>
  <si>
    <t>wychowawczy</t>
  </si>
  <si>
    <t>rodzinny</t>
  </si>
  <si>
    <t>pielęgnacyjny</t>
  </si>
  <si>
    <t>Liczba dni delegacji do oblicz. ekw. za jazdy</t>
  </si>
  <si>
    <t>Wypłaty wynagrodzeń za m-c</t>
  </si>
  <si>
    <t>Przychody ogół. fin. przez pracod. i ZUS bez skł. do PIT 4</t>
  </si>
  <si>
    <t>Pod. finans. 
z z-du</t>
  </si>
  <si>
    <t>Pod. finans. z ZUS</t>
  </si>
  <si>
    <t>ZBIORÓWKA OGÓŁEM</t>
  </si>
  <si>
    <t>90%,75%,100%</t>
  </si>
  <si>
    <t>Kwota skła
-dki na FEP</t>
  </si>
  <si>
    <t>Przeciętne wynagrodzenie opodat. brutto w przeliczeniu na etaty:</t>
  </si>
  <si>
    <t>Przeciętne wynagrodzenie opodat. netto w przeliczeniu na etaty:</t>
  </si>
  <si>
    <t>Ogółem skł. ZUS i podatki od płac i zasiłków:</t>
  </si>
  <si>
    <t>PODSUMOWANIE LIST PŁAC PRACOWNIKÓW I OSÓB WYKONUJĄCYCH UMOWY CYWILNOPRAWNE</t>
  </si>
  <si>
    <t>OGÓŁEM SKŁADKI ZUS DO DRA</t>
  </si>
  <si>
    <t>LISTA PŁAC ZA MIESIĄC:</t>
  </si>
  <si>
    <t>SKŁADKI I PODATKI OGÓŁEM DO DRA I PIT 4:</t>
  </si>
  <si>
    <t>Lista płac za:</t>
  </si>
  <si>
    <t>w ubezp. E i R:</t>
  </si>
  <si>
    <t>Składki od przedsiębiorcy i osób współpracujących</t>
  </si>
  <si>
    <t>w ubezp. Ch:</t>
  </si>
  <si>
    <t>wypałcona w m-cu:</t>
  </si>
  <si>
    <t>podstawa</t>
  </si>
  <si>
    <t>Kwoty składek ogółem( przedsiębiorcy, pracownicy i zlecenia):</t>
  </si>
  <si>
    <t>w ubezp. W:</t>
  </si>
  <si>
    <t>Liczba dni miesiąca</t>
  </si>
  <si>
    <t>EMERYTALNE</t>
  </si>
  <si>
    <t>RENTOWE</t>
  </si>
  <si>
    <t>CHOROBOWE</t>
  </si>
  <si>
    <t>WYPADKOWE</t>
  </si>
  <si>
    <t>ZDROWOTNE</t>
  </si>
  <si>
    <t>FEP (płatnik) - liczba / kwota</t>
  </si>
  <si>
    <t>w ubezp. Zdr.</t>
  </si>
  <si>
    <t>(PIT 4R i DRA):</t>
  </si>
  <si>
    <t>Liczba dni choroby</t>
  </si>
  <si>
    <t>ubezpie-czony</t>
  </si>
  <si>
    <t>do DRA (9%)</t>
  </si>
  <si>
    <t>Świadczenia ref. z ZUS:</t>
  </si>
  <si>
    <t>skł. Zdr do odliczenia:</t>
  </si>
  <si>
    <t>płatnik</t>
  </si>
  <si>
    <t>odliczone</t>
  </si>
  <si>
    <t>Składki po odjęciu świadczeń:</t>
  </si>
  <si>
    <t>Składki finansowane z budżetu Państwa</t>
  </si>
  <si>
    <t>Łącznie skł. na życie finans. przez zatrudnionych:</t>
  </si>
  <si>
    <t>nazwa towarzystwa</t>
  </si>
  <si>
    <t>SKŁADKI ZUS ŁĄCZNIE Z BUDŻETEM PAŃSTWA:</t>
  </si>
  <si>
    <t>Łączne koszty zatrudniania (wynagrodzenia plus składki minus zasiłki):</t>
  </si>
  <si>
    <t>w tym umowy o pracę:</t>
  </si>
  <si>
    <t>w tym um. cywilnopr</t>
  </si>
  <si>
    <t>Składki ZUS  do wpłaty:</t>
  </si>
  <si>
    <t>Rodzaj i forma uslugi</t>
  </si>
  <si>
    <r>
      <t xml:space="preserve">Miesięczny koszt zatrudnienia jednego pracownika z minimalnym wynagrodzeniem </t>
    </r>
    <r>
      <rPr>
        <sz val="10"/>
        <rFont val="Times New Roman"/>
        <family val="1"/>
      </rPr>
      <t>(koszt powiększyliśmy o 1/12 urlopu wypoczynkowego)</t>
    </r>
  </si>
  <si>
    <t>Wpisz liczbę osób zatrudnionych w Twojej FIRMIE</t>
  </si>
  <si>
    <t>TAK</t>
  </si>
  <si>
    <t>Wybierz z listy</t>
  </si>
  <si>
    <r>
      <t xml:space="preserve">Twoje oszczędności
( </t>
    </r>
    <r>
      <rPr>
        <b/>
        <sz val="16"/>
        <color indexed="57"/>
        <rFont val="Times New Roman"/>
        <family val="1"/>
      </rPr>
      <t>- oszczędzasz</t>
    </r>
    <r>
      <rPr>
        <b/>
        <sz val="16"/>
        <rFont val="Times New Roman"/>
        <family val="1"/>
      </rPr>
      <t xml:space="preserve">,
</t>
    </r>
    <r>
      <rPr>
        <b/>
        <sz val="16"/>
        <color indexed="10"/>
        <rFont val="Times New Roman"/>
        <family val="1"/>
      </rPr>
      <t>+ dokładasz</t>
    </r>
    <r>
      <rPr>
        <b/>
        <sz val="16"/>
        <rFont val="Times New Roman"/>
        <family val="1"/>
      </rPr>
      <t>) 
w stosunku do kosztów zatrudniania jednego pracownika</t>
    </r>
  </si>
  <si>
    <t>VAT 23%</t>
  </si>
  <si>
    <t>bez lunchu</t>
  </si>
  <si>
    <r>
      <t xml:space="preserve">outsourcing </t>
    </r>
    <r>
      <rPr>
        <b/>
        <sz val="16"/>
        <rFont val="Times New Roman"/>
        <family val="1"/>
      </rPr>
      <t>on-line</t>
    </r>
    <r>
      <rPr>
        <sz val="16"/>
        <rFont val="Times New Roman"/>
        <family val="1"/>
      </rPr>
      <t xml:space="preserve"> (tylko za pośrednictwem internetu i telefonu)</t>
    </r>
  </si>
  <si>
    <r>
      <t xml:space="preserve">outsourcing </t>
    </r>
    <r>
      <rPr>
        <b/>
        <sz val="16"/>
        <rFont val="Times New Roman"/>
        <family val="1"/>
      </rPr>
      <t>only in office</t>
    </r>
    <r>
      <rPr>
        <sz val="16"/>
        <rFont val="Times New Roman"/>
        <family val="1"/>
      </rPr>
      <t xml:space="preserve"> (wyłącznie w biurze outsourcingowym)</t>
    </r>
  </si>
  <si>
    <r>
      <t xml:space="preserve">outsourcing </t>
    </r>
    <r>
      <rPr>
        <b/>
        <sz val="16"/>
        <rFont val="Times New Roman"/>
        <family val="1"/>
      </rPr>
      <t>anywhere</t>
    </r>
    <r>
      <rPr>
        <sz val="16"/>
        <rFont val="Times New Roman"/>
        <family val="1"/>
      </rPr>
      <t xml:space="preserve"> (wszędzie według potrzeb)</t>
    </r>
  </si>
  <si>
    <r>
      <t>zarządzanie</t>
    </r>
    <r>
      <rPr>
        <sz val="16"/>
        <rFont val="Times New Roman"/>
        <family val="1"/>
      </rPr>
      <t xml:space="preserve"> personelem i bhp (kadry-płace-ZUS-BHP)</t>
    </r>
  </si>
  <si>
    <t>TYLKO W FIOLETOWYCH KOMÓRKACH MOŻESZ WPROWADZAĆ ZMIANY</t>
  </si>
  <si>
    <r>
      <t xml:space="preserve">KALKULATOR PRZYBLIŻONYCH CEN USŁUG "PROMESA" B.H.U. Małgorzata Żukowska  
e-mail: </t>
    </r>
    <r>
      <rPr>
        <b/>
        <sz val="20"/>
        <color indexed="12"/>
        <rFont val="Times New Roman"/>
        <family val="1"/>
      </rPr>
      <t xml:space="preserve">promesa.bhu@wp.pl
</t>
    </r>
    <r>
      <rPr>
        <b/>
        <sz val="20"/>
        <color indexed="10"/>
        <rFont val="Times New Roman"/>
        <family val="1"/>
      </rPr>
      <t>Niniejszy kalkulator nie stanowi oferty w rozumieniu przepisów Kodeksu cywilnego.</t>
    </r>
  </si>
  <si>
    <r>
      <t xml:space="preserve">outsourcing </t>
    </r>
    <r>
      <rPr>
        <b/>
        <sz val="11"/>
        <color indexed="55"/>
        <rFont val="Arial CE"/>
        <family val="2"/>
      </rPr>
      <t>on-line</t>
    </r>
    <r>
      <rPr>
        <sz val="11"/>
        <color indexed="55"/>
        <rFont val="Arial CE"/>
        <family val="2"/>
      </rPr>
      <t xml:space="preserve"> (tylko za pośrednictwem internetu i telefonu)</t>
    </r>
  </si>
  <si>
    <r>
      <t xml:space="preserve">outsourcing </t>
    </r>
    <r>
      <rPr>
        <b/>
        <sz val="11"/>
        <color indexed="55"/>
        <rFont val="Arial CE"/>
        <family val="2"/>
      </rPr>
      <t>only in office</t>
    </r>
    <r>
      <rPr>
        <sz val="11"/>
        <color indexed="55"/>
        <rFont val="Arial CE"/>
        <family val="2"/>
      </rPr>
      <t xml:space="preserve"> (wyłącznie w biurze outsourcingowym)</t>
    </r>
  </si>
  <si>
    <r>
      <t xml:space="preserve">outsourcing </t>
    </r>
    <r>
      <rPr>
        <b/>
        <sz val="11"/>
        <color indexed="55"/>
        <rFont val="Arial CE"/>
        <family val="2"/>
      </rPr>
      <t>anywhere</t>
    </r>
    <r>
      <rPr>
        <sz val="11"/>
        <color indexed="55"/>
        <rFont val="Arial CE"/>
        <family val="2"/>
      </rPr>
      <t xml:space="preserve"> (wszędzie według potrzeb)</t>
    </r>
  </si>
  <si>
    <r>
      <t>zarządzanie</t>
    </r>
    <r>
      <rPr>
        <sz val="11"/>
        <color indexed="55"/>
        <rFont val="Arial CE"/>
        <family val="2"/>
      </rPr>
      <t xml:space="preserve"> personelem i bhp (kadry-płace-ZUS-BHP)</t>
    </r>
  </si>
  <si>
    <r>
      <t xml:space="preserve">Wysokość dodatku za pracę w porze nocnej w % od stawki godz. </t>
    </r>
    <r>
      <rPr>
        <u val="single"/>
        <sz val="25"/>
        <color indexed="55"/>
        <rFont val="Arial CE"/>
        <family val="0"/>
      </rPr>
      <t>wynagr. zas</t>
    </r>
    <r>
      <rPr>
        <sz val="25"/>
        <color indexed="55"/>
        <rFont val="Arial CE"/>
        <family val="2"/>
      </rPr>
      <t>.</t>
    </r>
  </si>
  <si>
    <r>
      <t xml:space="preserve">Kwota rocznego ograniczenia podstawy wymiaru składek na ubezpieczenia emerytalne i rentowe w </t>
    </r>
    <r>
      <rPr>
        <sz val="24"/>
        <color indexed="55"/>
        <rFont val="Arial CE"/>
        <family val="0"/>
      </rPr>
      <t>2010</t>
    </r>
    <r>
      <rPr>
        <sz val="18"/>
        <color indexed="55"/>
        <rFont val="Arial CE"/>
        <family val="2"/>
      </rPr>
      <t xml:space="preserve"> r.</t>
    </r>
  </si>
  <si>
    <r>
      <t xml:space="preserve">Ryczałt na jazdy lokalne
</t>
    </r>
    <r>
      <rPr>
        <u val="single"/>
        <sz val="24"/>
        <color indexed="55"/>
        <rFont val="Arial CE"/>
        <family val="0"/>
      </rPr>
      <t>liczba km
stawka za 1 km
kwota ryczałtu</t>
    </r>
  </si>
  <si>
    <r>
      <t xml:space="preserve">nie pomniejszane </t>
    </r>
    <r>
      <rPr>
        <i/>
        <u val="single"/>
        <sz val="26"/>
        <color indexed="55"/>
        <rFont val="Arial CE"/>
        <family val="2"/>
      </rPr>
      <t xml:space="preserve">o  nieobecności  </t>
    </r>
    <r>
      <rPr>
        <i/>
        <sz val="26"/>
        <color indexed="55"/>
        <rFont val="Arial CE"/>
        <family val="2"/>
      </rPr>
      <t>pomniejszane o nieobecności</t>
    </r>
  </si>
  <si>
    <r>
      <t xml:space="preserve">Przychody ogół. fin. przez pracod. i ZUS bez skł. do 
</t>
    </r>
    <r>
      <rPr>
        <b/>
        <i/>
        <sz val="36"/>
        <color indexed="55"/>
        <rFont val="Arial CE"/>
        <family val="0"/>
      </rPr>
      <t>PIT 4R</t>
    </r>
  </si>
  <si>
    <r>
      <t>świadczeń rzeczowych z ZFFŚ (wolne od pod</t>
    </r>
    <r>
      <rPr>
        <i/>
        <sz val="22"/>
        <color indexed="55"/>
        <rFont val="Arial CE"/>
        <family val="2"/>
      </rPr>
      <t xml:space="preserve"> 
</t>
    </r>
    <r>
      <rPr>
        <i/>
        <sz val="36"/>
        <color indexed="55"/>
        <rFont val="Arial CE"/>
        <family val="0"/>
      </rPr>
      <t>380 zł</t>
    </r>
    <r>
      <rPr>
        <i/>
        <sz val="22"/>
        <color indexed="55"/>
        <rFont val="Arial CE"/>
        <family val="2"/>
      </rPr>
      <t>)</t>
    </r>
  </si>
  <si>
    <r>
      <t xml:space="preserve">Nierozliczona kwota nadpłaty pod. z PiT-40 do wypłaty w got. w </t>
    </r>
    <r>
      <rPr>
        <sz val="22"/>
        <color indexed="55"/>
        <rFont val="Arial CE"/>
        <family val="0"/>
      </rPr>
      <t>IV</t>
    </r>
  </si>
  <si>
    <r>
      <t xml:space="preserve">Ryczałt na jazdy lokalne
</t>
    </r>
    <r>
      <rPr>
        <i/>
        <sz val="36"/>
        <color indexed="55"/>
        <rFont val="Arial CE"/>
        <family val="0"/>
      </rPr>
      <t xml:space="preserve">
</t>
    </r>
    <r>
      <rPr>
        <u val="single"/>
        <sz val="28"/>
        <color indexed="55"/>
        <rFont val="Arial CE"/>
        <family val="0"/>
      </rPr>
      <t>liczba km
stawka za 1 km
kwota ryczałtu</t>
    </r>
  </si>
  <si>
    <r>
      <t>nie pomniejszane o</t>
    </r>
    <r>
      <rPr>
        <i/>
        <u val="single"/>
        <sz val="22"/>
        <color indexed="55"/>
        <rFont val="Arial CE"/>
        <family val="0"/>
      </rPr>
      <t xml:space="preserve">  nieobecności  </t>
    </r>
    <r>
      <rPr>
        <i/>
        <sz val="22"/>
        <color indexed="55"/>
        <rFont val="Arial CE"/>
        <family val="0"/>
      </rPr>
      <t>pomniejszane o nieobecności</t>
    </r>
  </si>
  <si>
    <r>
      <t>Świadcz. niepieniężne, skł. fin przez pracow.</t>
    </r>
    <r>
      <rPr>
        <i/>
        <sz val="24"/>
        <color indexed="55"/>
        <rFont val="Arial CE"/>
        <family val="0"/>
      </rPr>
      <t xml:space="preserve"> i cała skł Zdr bez 1%</t>
    </r>
  </si>
  <si>
    <r>
      <t xml:space="preserve">świadczeń rzeczowych z ZFFŚ (wolne od pod </t>
    </r>
    <r>
      <rPr>
        <i/>
        <sz val="36"/>
        <color indexed="55"/>
        <rFont val="Arial CE"/>
        <family val="0"/>
      </rPr>
      <t>380 zł</t>
    </r>
    <r>
      <rPr>
        <i/>
        <sz val="26"/>
        <color indexed="55"/>
        <rFont val="Arial CE"/>
        <family val="2"/>
      </rPr>
      <t>)</t>
    </r>
  </si>
  <si>
    <r>
      <t>Liczba ubezpieczonych</t>
    </r>
    <r>
      <rPr>
        <sz val="36"/>
        <color indexed="55"/>
        <rFont val="Arial CE"/>
        <family val="2"/>
      </rPr>
      <t xml:space="preserve"> (łącznie z przedsiębiorcą i osobą współpracującą):</t>
    </r>
  </si>
  <si>
    <r>
      <t>OGÓŁEM PODATKI WPŁACANE DO URZ. SKARB.</t>
    </r>
    <r>
      <rPr>
        <b/>
        <sz val="30"/>
        <color indexed="55"/>
        <rFont val="Arial CE"/>
        <family val="0"/>
      </rPr>
      <t xml:space="preserve"> ( um. o pr. i zlec)</t>
    </r>
  </si>
  <si>
    <r>
      <t xml:space="preserve">Koszt usługi </t>
    </r>
    <r>
      <rPr>
        <b/>
        <sz val="20"/>
        <color indexed="10"/>
        <rFont val="Times New Roman"/>
        <family val="1"/>
      </rPr>
      <t>NETTO</t>
    </r>
    <r>
      <rPr>
        <b/>
        <sz val="16"/>
        <rFont val="Times New Roman"/>
        <family val="1"/>
      </rPr>
      <t xml:space="preserve"> 
za 1 miesiąc</t>
    </r>
  </si>
  <si>
    <r>
      <t xml:space="preserve">Koszt usługi </t>
    </r>
    <r>
      <rPr>
        <b/>
        <sz val="20"/>
        <color indexed="10"/>
        <rFont val="Times New Roman"/>
        <family val="1"/>
      </rPr>
      <t>BRUTTO</t>
    </r>
    <r>
      <rPr>
        <b/>
        <sz val="16"/>
        <rFont val="Times New Roman"/>
        <family val="1"/>
      </rPr>
      <t xml:space="preserve"> 
za 1 miesiąc</t>
    </r>
  </si>
  <si>
    <r>
      <t>Liczba kilometrów</t>
    </r>
    <r>
      <rPr>
        <b/>
        <sz val="16"/>
        <rFont val="Times New Roman"/>
        <family val="1"/>
      </rPr>
      <t xml:space="preserve"> z Kołobrzegu do FIRMY obsługiwanej i z powrotem</t>
    </r>
  </si>
  <si>
    <r>
      <t>Dojazdy do FIRMY obslugiwanej 
(</t>
    </r>
    <r>
      <rPr>
        <b/>
        <sz val="20"/>
        <color indexed="10"/>
        <rFont val="Times New Roman"/>
        <family val="1"/>
      </rPr>
      <t>liczba wizyt</t>
    </r>
    <r>
      <rPr>
        <b/>
        <sz val="16"/>
        <rFont val="Times New Roman"/>
        <family val="1"/>
      </rPr>
      <t xml:space="preserve"> w miesiącu ponad ustaloną w umowie)</t>
    </r>
  </si>
  <si>
    <t>Dotyczy tylko uslug on-line i only in office oraz anywhere. 
Do 30 km wokół Kołobrzegu nie pobieramy opłat za dojazd.</t>
  </si>
  <si>
    <t>USŁUGI STAŁE</t>
  </si>
  <si>
    <t>USŁUGI STAŁE - KOSZTY DODATKOWE</t>
  </si>
  <si>
    <r>
      <t xml:space="preserve">Czas wykonywania innych czynności dla FIRMY obslugiwanej niż szkolenia
</t>
    </r>
    <r>
      <rPr>
        <b/>
        <sz val="16"/>
        <color indexed="10"/>
        <rFont val="Times New Roman"/>
        <family val="1"/>
      </rPr>
      <t>(</t>
    </r>
    <r>
      <rPr>
        <b/>
        <sz val="20"/>
        <color indexed="10"/>
        <rFont val="Times New Roman"/>
        <family val="1"/>
      </rPr>
      <t>liczba godzin od chwili dojazdu do chwili odjazdu</t>
    </r>
    <r>
      <rPr>
        <b/>
        <sz val="16"/>
        <color indexed="10"/>
        <rFont val="Times New Roman"/>
        <family val="1"/>
      </rPr>
      <t>)</t>
    </r>
  </si>
  <si>
    <r>
      <t xml:space="preserve">Szkolenia zamknięte inne niż bhp (za 6 godz lekcyjnych.).  
</t>
    </r>
    <r>
      <rPr>
        <b/>
        <sz val="16"/>
        <color indexed="10"/>
        <rFont val="Times New Roman"/>
        <family val="1"/>
      </rPr>
      <t>Wpisz liczbę osób szkolonych.</t>
    </r>
  </si>
  <si>
    <r>
      <t>Szkolenia zamknięte bhp bez stałej obsługi (za 8 godz. lekcyjnych wynikających z programu).</t>
    </r>
    <r>
      <rPr>
        <b/>
        <sz val="16"/>
        <color indexed="10"/>
        <rFont val="Times New Roman"/>
        <family val="1"/>
      </rPr>
      <t xml:space="preserve"> 
Wpisz liczbę osób szkolonych.</t>
    </r>
  </si>
  <si>
    <r>
      <t>Liczba kilometrów</t>
    </r>
    <r>
      <rPr>
        <b/>
        <sz val="16"/>
        <rFont val="Times New Roman"/>
        <family val="1"/>
      </rPr>
      <t xml:space="preserve"> z Kołobrzegu do miejsca wykonywania obsługi i z powrotem</t>
    </r>
  </si>
  <si>
    <t>bez lunchu (lunch i serwis kawowy 40 zł/osoba)</t>
  </si>
  <si>
    <t>Koszt usługi jednorazowej</t>
  </si>
  <si>
    <t>netto</t>
  </si>
  <si>
    <t>brutto</t>
  </si>
  <si>
    <r>
      <t xml:space="preserve">Szkolenia okresowe bhp w ramach stałej obsługi (za 8 godz. ekcyjnych wynikających z programu). 
</t>
    </r>
    <r>
      <rPr>
        <b/>
        <sz val="16"/>
        <color indexed="10"/>
        <rFont val="Times New Roman"/>
        <family val="1"/>
      </rPr>
      <t>Wpisz liczbę osób szkolonych.</t>
    </r>
  </si>
  <si>
    <t>MOBILNE BIURO 24 h i inne USŁUGI JEDNORAZOWE</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</si>
</sst>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415]mmmmm;@"/>
  </numFmts>
  <fonts count="116">
    <font>
      <sz val="10"/>
      <name val="Arial CE"/>
      <family val="0"/>
    </font>
    <font>
      <sz val="14"/>
      <name val="Arial CE"/>
      <family val="0"/>
    </font>
    <font>
      <b/>
      <sz val="36"/>
      <color indexed="10"/>
      <name val="Tahoma"/>
      <family val="2"/>
    </font>
    <font>
      <sz val="36"/>
      <color indexed="10"/>
      <name val="Tahoma"/>
      <family val="2"/>
    </font>
    <font>
      <b/>
      <sz val="36"/>
      <name val="Tahoma"/>
      <family val="2"/>
    </font>
    <font>
      <sz val="36"/>
      <name val="Tahoma"/>
      <family val="2"/>
    </font>
    <font>
      <b/>
      <sz val="48"/>
      <name val="Tahoma"/>
      <family val="2"/>
    </font>
    <font>
      <b/>
      <u val="single"/>
      <sz val="36"/>
      <color indexed="10"/>
      <name val="Tahoma"/>
      <family val="2"/>
    </font>
    <font>
      <sz val="28"/>
      <name val="Tahoma"/>
      <family val="2"/>
    </font>
    <font>
      <b/>
      <sz val="28"/>
      <color indexed="10"/>
      <name val="Tahoma"/>
      <family val="2"/>
    </font>
    <font>
      <sz val="28"/>
      <color indexed="10"/>
      <name val="Tahoma"/>
      <family val="2"/>
    </font>
    <font>
      <b/>
      <sz val="28"/>
      <name val="Tahoma"/>
      <family val="2"/>
    </font>
    <font>
      <b/>
      <sz val="48"/>
      <color indexed="10"/>
      <name val="Arial"/>
      <family val="2"/>
    </font>
    <font>
      <b/>
      <sz val="36"/>
      <color indexed="10"/>
      <name val="Arial"/>
      <family val="2"/>
    </font>
    <font>
      <sz val="48"/>
      <color indexed="10"/>
      <name val="Tahoma"/>
      <family val="2"/>
    </font>
    <font>
      <b/>
      <sz val="48"/>
      <color indexed="10"/>
      <name val="Tahoma"/>
      <family val="2"/>
    </font>
    <font>
      <b/>
      <sz val="16"/>
      <name val="Times New Roman"/>
      <family val="1"/>
    </font>
    <font>
      <sz val="10"/>
      <name val="Times New Roman"/>
      <family val="1"/>
    </font>
    <font>
      <b/>
      <sz val="14"/>
      <name val="Times New Roman"/>
      <family val="1"/>
    </font>
    <font>
      <sz val="16"/>
      <name val="Times New Roman"/>
      <family val="1"/>
    </font>
    <font>
      <sz val="12"/>
      <name val="Times New Roman"/>
      <family val="1"/>
    </font>
    <font>
      <b/>
      <sz val="20"/>
      <name val="Times New Roman"/>
      <family val="1"/>
    </font>
    <font>
      <b/>
      <sz val="26"/>
      <name val="Times New Roman"/>
      <family val="1"/>
    </font>
    <font>
      <sz val="20"/>
      <name val="Times New Roman"/>
      <family val="1"/>
    </font>
    <font>
      <sz val="26"/>
      <name val="Times New Roman"/>
      <family val="1"/>
    </font>
    <font>
      <b/>
      <sz val="16"/>
      <color indexed="57"/>
      <name val="Times New Roman"/>
      <family val="1"/>
    </font>
    <font>
      <b/>
      <sz val="16"/>
      <color indexed="10"/>
      <name val="Times New Roman"/>
      <family val="1"/>
    </font>
    <font>
      <b/>
      <sz val="26"/>
      <color indexed="10"/>
      <name val="Times New Roman"/>
      <family val="1"/>
    </font>
    <font>
      <b/>
      <sz val="22"/>
      <color indexed="10"/>
      <name val="Times New Roman"/>
      <family val="1"/>
    </font>
    <font>
      <b/>
      <sz val="20"/>
      <color indexed="12"/>
      <name val="Times New Roman"/>
      <family val="1"/>
    </font>
    <font>
      <sz val="10"/>
      <color indexed="55"/>
      <name val="Times New Roman"/>
      <family val="1"/>
    </font>
    <font>
      <b/>
      <sz val="20"/>
      <color indexed="10"/>
      <name val="Times New Roman"/>
      <family val="1"/>
    </font>
    <font>
      <b/>
      <sz val="16"/>
      <color indexed="55"/>
      <name val="Arial CE"/>
      <family val="2"/>
    </font>
    <font>
      <sz val="10"/>
      <color indexed="55"/>
      <name val="Arial CE"/>
      <family val="2"/>
    </font>
    <font>
      <sz val="14"/>
      <color indexed="55"/>
      <name val="Arial CE"/>
      <family val="2"/>
    </font>
    <font>
      <sz val="11"/>
      <color indexed="55"/>
      <name val="Arial CE"/>
      <family val="2"/>
    </font>
    <font>
      <b/>
      <sz val="11"/>
      <color indexed="55"/>
      <name val="Arial CE"/>
      <family val="2"/>
    </font>
    <font>
      <b/>
      <sz val="14"/>
      <color indexed="55"/>
      <name val="Arial CE"/>
      <family val="2"/>
    </font>
    <font>
      <sz val="12"/>
      <color indexed="55"/>
      <name val="Arial CE"/>
      <family val="2"/>
    </font>
    <font>
      <b/>
      <sz val="10"/>
      <color indexed="55"/>
      <name val="Arial CE"/>
      <family val="2"/>
    </font>
    <font>
      <b/>
      <sz val="12"/>
      <color indexed="55"/>
      <name val="Arial CE"/>
      <family val="2"/>
    </font>
    <font>
      <sz val="16"/>
      <color indexed="55"/>
      <name val="Arial CE"/>
      <family val="2"/>
    </font>
    <font>
      <i/>
      <sz val="10"/>
      <color indexed="55"/>
      <name val="Arial CE"/>
      <family val="2"/>
    </font>
    <font>
      <sz val="20"/>
      <color indexed="55"/>
      <name val="Arial CE"/>
      <family val="2"/>
    </font>
    <font>
      <sz val="24"/>
      <color indexed="55"/>
      <name val="Arial CE"/>
      <family val="2"/>
    </font>
    <font>
      <b/>
      <sz val="46"/>
      <color indexed="55"/>
      <name val="Arial CE"/>
      <family val="0"/>
    </font>
    <font>
      <b/>
      <sz val="36"/>
      <color indexed="55"/>
      <name val="Arial CE"/>
      <family val="0"/>
    </font>
    <font>
      <sz val="24"/>
      <color indexed="55"/>
      <name val="Arial"/>
      <family val="2"/>
    </font>
    <font>
      <sz val="36"/>
      <color indexed="55"/>
      <name val="Arial CE"/>
      <family val="2"/>
    </font>
    <font>
      <sz val="26"/>
      <color indexed="55"/>
      <name val="Arial CE"/>
      <family val="2"/>
    </font>
    <font>
      <sz val="28"/>
      <color indexed="55"/>
      <name val="Arial CE"/>
      <family val="2"/>
    </font>
    <font>
      <sz val="22"/>
      <color indexed="55"/>
      <name val="Arial CE"/>
      <family val="0"/>
    </font>
    <font>
      <b/>
      <sz val="38"/>
      <color indexed="55"/>
      <name val="Arial CE"/>
      <family val="0"/>
    </font>
    <font>
      <sz val="32"/>
      <color indexed="55"/>
      <name val="Arial CE"/>
      <family val="2"/>
    </font>
    <font>
      <b/>
      <sz val="18"/>
      <color indexed="55"/>
      <name val="Arial CE"/>
      <family val="0"/>
    </font>
    <font>
      <sz val="25"/>
      <color indexed="55"/>
      <name val="Arial CE"/>
      <family val="2"/>
    </font>
    <font>
      <u val="single"/>
      <sz val="25"/>
      <color indexed="55"/>
      <name val="Arial CE"/>
      <family val="0"/>
    </font>
    <font>
      <sz val="18"/>
      <color indexed="55"/>
      <name val="Arial CE"/>
      <family val="2"/>
    </font>
    <font>
      <sz val="9"/>
      <color indexed="55"/>
      <name val="Arial CE"/>
      <family val="2"/>
    </font>
    <font>
      <b/>
      <sz val="48"/>
      <color indexed="55"/>
      <name val="Arial CE"/>
      <family val="0"/>
    </font>
    <font>
      <b/>
      <sz val="20"/>
      <color indexed="55"/>
      <name val="Arial CE"/>
      <family val="2"/>
    </font>
    <font>
      <b/>
      <sz val="36"/>
      <color indexed="55"/>
      <name val="Times New Roman CE"/>
      <family val="1"/>
    </font>
    <font>
      <b/>
      <sz val="56"/>
      <color indexed="55"/>
      <name val="Arial CE"/>
      <family val="2"/>
    </font>
    <font>
      <b/>
      <sz val="20"/>
      <color indexed="55"/>
      <name val="Times New Roman CE"/>
      <family val="1"/>
    </font>
    <font>
      <b/>
      <sz val="8"/>
      <color indexed="55"/>
      <name val="Arial CE"/>
      <family val="2"/>
    </font>
    <font>
      <b/>
      <sz val="66"/>
      <color indexed="55"/>
      <name val="Arial CE"/>
      <family val="2"/>
    </font>
    <font>
      <i/>
      <sz val="24"/>
      <color indexed="55"/>
      <name val="Arial CE"/>
      <family val="2"/>
    </font>
    <font>
      <i/>
      <sz val="26"/>
      <color indexed="55"/>
      <name val="Arial CE"/>
      <family val="2"/>
    </font>
    <font>
      <i/>
      <sz val="28"/>
      <color indexed="55"/>
      <name val="Arial CE"/>
      <family val="2"/>
    </font>
    <font>
      <i/>
      <sz val="16"/>
      <color indexed="55"/>
      <name val="Arial CE"/>
      <family val="2"/>
    </font>
    <font>
      <b/>
      <i/>
      <sz val="32"/>
      <color indexed="55"/>
      <name val="Arial CE"/>
      <family val="2"/>
    </font>
    <font>
      <i/>
      <sz val="11"/>
      <color indexed="55"/>
      <name val="Arial CE"/>
      <family val="2"/>
    </font>
    <font>
      <i/>
      <sz val="18"/>
      <color indexed="55"/>
      <name val="Arial CE"/>
      <family val="2"/>
    </font>
    <font>
      <i/>
      <sz val="22"/>
      <color indexed="55"/>
      <name val="Arial CE"/>
      <family val="2"/>
    </font>
    <font>
      <i/>
      <sz val="36"/>
      <color indexed="55"/>
      <name val="Arial CE"/>
      <family val="2"/>
    </font>
    <font>
      <i/>
      <sz val="32"/>
      <color indexed="55"/>
      <name val="Arial CE"/>
      <family val="2"/>
    </font>
    <font>
      <b/>
      <i/>
      <sz val="28"/>
      <color indexed="55"/>
      <name val="Arial CE"/>
      <family val="2"/>
    </font>
    <font>
      <b/>
      <i/>
      <sz val="26"/>
      <color indexed="55"/>
      <name val="Arial CE"/>
      <family val="0"/>
    </font>
    <font>
      <b/>
      <i/>
      <sz val="24"/>
      <color indexed="55"/>
      <name val="Arial CE"/>
      <family val="2"/>
    </font>
    <font>
      <b/>
      <sz val="64"/>
      <color indexed="55"/>
      <name val="Arial CE"/>
      <family val="2"/>
    </font>
    <font>
      <b/>
      <i/>
      <sz val="36"/>
      <color indexed="55"/>
      <name val="Arial CE"/>
      <family val="2"/>
    </font>
    <font>
      <b/>
      <sz val="40"/>
      <color indexed="55"/>
      <name val="Arial CE"/>
      <family val="0"/>
    </font>
    <font>
      <u val="single"/>
      <sz val="24"/>
      <color indexed="55"/>
      <name val="Arial CE"/>
      <family val="0"/>
    </font>
    <font>
      <i/>
      <sz val="30"/>
      <color indexed="55"/>
      <name val="Arial CE"/>
      <family val="2"/>
    </font>
    <font>
      <b/>
      <sz val="26"/>
      <color indexed="55"/>
      <name val="Arial CE"/>
      <family val="0"/>
    </font>
    <font>
      <i/>
      <sz val="20"/>
      <color indexed="55"/>
      <name val="Arial CE"/>
      <family val="2"/>
    </font>
    <font>
      <i/>
      <u val="single"/>
      <sz val="26"/>
      <color indexed="55"/>
      <name val="Arial CE"/>
      <family val="2"/>
    </font>
    <font>
      <i/>
      <sz val="34"/>
      <color indexed="55"/>
      <name val="Arial CE"/>
      <family val="2"/>
    </font>
    <font>
      <b/>
      <i/>
      <sz val="18"/>
      <color indexed="55"/>
      <name val="Arial CE"/>
      <family val="2"/>
    </font>
    <font>
      <b/>
      <sz val="32"/>
      <color indexed="55"/>
      <name val="Arial CE"/>
      <family val="2"/>
    </font>
    <font>
      <b/>
      <i/>
      <sz val="22"/>
      <color indexed="55"/>
      <name val="Arial CE"/>
      <family val="2"/>
    </font>
    <font>
      <b/>
      <i/>
      <sz val="42"/>
      <color indexed="55"/>
      <name val="Arial CE"/>
      <family val="0"/>
    </font>
    <font>
      <sz val="48"/>
      <color indexed="55"/>
      <name val="Arial CE"/>
      <family val="2"/>
    </font>
    <font>
      <u val="single"/>
      <sz val="28"/>
      <color indexed="55"/>
      <name val="Arial CE"/>
      <family val="0"/>
    </font>
    <font>
      <i/>
      <u val="single"/>
      <sz val="22"/>
      <color indexed="55"/>
      <name val="Arial CE"/>
      <family val="0"/>
    </font>
    <font>
      <b/>
      <sz val="65"/>
      <color indexed="55"/>
      <name val="Arial CE"/>
      <family val="0"/>
    </font>
    <font>
      <b/>
      <sz val="45"/>
      <color indexed="55"/>
      <name val="Arial CE"/>
      <family val="2"/>
    </font>
    <font>
      <b/>
      <sz val="60"/>
      <color indexed="55"/>
      <name val="Arial CE"/>
      <family val="2"/>
    </font>
    <font>
      <b/>
      <sz val="42"/>
      <color indexed="55"/>
      <name val="Arial CE"/>
      <family val="2"/>
    </font>
    <font>
      <b/>
      <i/>
      <sz val="20"/>
      <color indexed="55"/>
      <name val="Arial CE"/>
      <family val="2"/>
    </font>
    <font>
      <b/>
      <sz val="28"/>
      <color indexed="55"/>
      <name val="Arial"/>
      <family val="2"/>
    </font>
    <font>
      <sz val="40"/>
      <color indexed="55"/>
      <name val="Arial CE"/>
      <family val="2"/>
    </font>
    <font>
      <sz val="42"/>
      <color indexed="55"/>
      <name val="Arial CE"/>
      <family val="2"/>
    </font>
    <font>
      <b/>
      <sz val="30"/>
      <color indexed="55"/>
      <name val="Arial CE"/>
      <family val="0"/>
    </font>
    <font>
      <b/>
      <sz val="54"/>
      <color indexed="55"/>
      <name val="Arial CE"/>
      <family val="0"/>
    </font>
    <font>
      <sz val="72"/>
      <name val="Webdings"/>
      <family val="1"/>
    </font>
    <font>
      <sz val="36"/>
      <name val="Times New Roman"/>
      <family val="1"/>
    </font>
    <font>
      <b/>
      <sz val="28"/>
      <color indexed="10"/>
      <name val="Times New Roman"/>
      <family val="1"/>
    </font>
    <font>
      <b/>
      <sz val="24"/>
      <color indexed="10"/>
      <name val="Times New Roman"/>
      <family val="1"/>
    </font>
    <font>
      <b/>
      <sz val="16"/>
      <name val="Arial CE"/>
      <family val="0"/>
    </font>
    <font>
      <b/>
      <sz val="24"/>
      <name val="Times New Roman"/>
      <family val="1"/>
    </font>
    <font>
      <b/>
      <sz val="24"/>
      <color indexed="12"/>
      <name val="Times New Roman"/>
      <family val="1"/>
    </font>
    <font>
      <b/>
      <sz val="18"/>
      <color indexed="12"/>
      <name val="Arial CE"/>
      <family val="0"/>
    </font>
    <font>
      <sz val="24"/>
      <name val="Times New Roman"/>
      <family val="1"/>
    </font>
    <font>
      <b/>
      <sz val="32"/>
      <color indexed="12"/>
      <name val="Times New Roman"/>
      <family val="1"/>
    </font>
    <font>
      <b/>
      <sz val="8"/>
      <name val="Arial CE"/>
      <family val="2"/>
    </font>
  </fonts>
  <fills count="14">
    <fill>
      <patternFill/>
    </fill>
    <fill>
      <patternFill patternType="gray125"/>
    </fill>
    <fill>
      <patternFill patternType="solid">
        <fgColor indexed="51"/>
        <bgColor indexed="64"/>
      </patternFill>
    </fill>
    <fill>
      <patternFill patternType="solid">
        <fgColor indexed="46"/>
        <bgColor indexed="64"/>
      </patternFill>
    </fill>
    <fill>
      <patternFill patternType="solid">
        <fgColor indexed="11"/>
        <bgColor indexed="64"/>
      </patternFill>
    </fill>
    <fill>
      <patternFill patternType="solid">
        <fgColor indexed="55"/>
        <bgColor indexed="64"/>
      </patternFill>
    </fill>
    <fill>
      <patternFill patternType="solid">
        <fgColor indexed="55"/>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5"/>
        <bgColor indexed="64"/>
      </patternFill>
    </fill>
    <fill>
      <patternFill patternType="solid">
        <fgColor indexed="49"/>
        <bgColor indexed="64"/>
      </patternFill>
    </fill>
  </fills>
  <borders count="228">
    <border>
      <left/>
      <right/>
      <top/>
      <bottom/>
      <diagonal/>
    </border>
    <border>
      <left style="thin"/>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style="thin"/>
    </border>
    <border>
      <left style="medium"/>
      <right style="thin"/>
      <top style="medium"/>
      <bottom style="thin"/>
    </border>
    <border>
      <left style="thin"/>
      <right style="thin"/>
      <top style="thin"/>
      <bottom style="medium"/>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thin"/>
      <top style="hair"/>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thin"/>
      <right style="hair"/>
      <top style="thin"/>
      <bottom style="thin"/>
    </border>
    <border>
      <left style="hair"/>
      <right style="thin"/>
      <top style="thin"/>
      <bottom style="thin"/>
    </border>
    <border>
      <left style="thin"/>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hair"/>
      <bottom>
        <color indexed="63"/>
      </bottom>
    </border>
    <border>
      <left style="hair"/>
      <right style="hair"/>
      <top>
        <color indexed="63"/>
      </top>
      <bottom>
        <color indexed="63"/>
      </bottom>
    </border>
    <border>
      <left>
        <color indexed="63"/>
      </left>
      <right style="thin"/>
      <top style="thick"/>
      <bottom>
        <color indexed="63"/>
      </bottom>
    </border>
    <border>
      <left style="thin"/>
      <right>
        <color indexed="63"/>
      </right>
      <top style="thick"/>
      <bottom>
        <color indexed="63"/>
      </bottom>
    </border>
    <border>
      <left style="thick"/>
      <right>
        <color indexed="63"/>
      </right>
      <top>
        <color indexed="63"/>
      </top>
      <bottom>
        <color indexed="63"/>
      </bottom>
    </border>
    <border>
      <left style="hair"/>
      <right>
        <color indexed="63"/>
      </right>
      <top>
        <color indexed="63"/>
      </top>
      <bottom>
        <color indexed="63"/>
      </bottom>
    </border>
    <border>
      <left style="thick"/>
      <right style="hair"/>
      <top style="thin"/>
      <bottom>
        <color indexed="63"/>
      </bottom>
    </border>
    <border>
      <left style="hair"/>
      <right style="hair"/>
      <top style="thin"/>
      <bottom>
        <color indexed="63"/>
      </bottom>
    </border>
    <border>
      <left style="thick"/>
      <right style="hair"/>
      <top>
        <color indexed="63"/>
      </top>
      <bottom>
        <color indexed="63"/>
      </bottom>
    </border>
    <border>
      <left style="hair"/>
      <right style="hair"/>
      <top>
        <color indexed="63"/>
      </top>
      <bottom style="hair"/>
    </border>
    <border>
      <left style="hair"/>
      <right>
        <color indexed="63"/>
      </right>
      <top>
        <color indexed="63"/>
      </top>
      <bottom style="hair"/>
    </border>
    <border>
      <left style="thick"/>
      <right style="hair"/>
      <top>
        <color indexed="63"/>
      </top>
      <bottom style="hair"/>
    </border>
    <border>
      <left style="hair"/>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ck"/>
      <right style="hair"/>
      <top style="hair"/>
      <bottom style="medium"/>
    </border>
    <border>
      <left style="hair"/>
      <right style="hair"/>
      <top style="hair"/>
      <bottom style="medium"/>
    </border>
    <border>
      <left style="hair"/>
      <right style="thin"/>
      <top style="hair"/>
      <bottom style="medium"/>
    </border>
    <border>
      <left style="thin"/>
      <right>
        <color indexed="63"/>
      </right>
      <top style="hair"/>
      <bottom style="medium"/>
    </border>
    <border>
      <left style="hair"/>
      <right style="thick"/>
      <top>
        <color indexed="63"/>
      </top>
      <bottom>
        <color indexed="63"/>
      </bottom>
    </border>
    <border>
      <left>
        <color indexed="63"/>
      </left>
      <right>
        <color indexed="63"/>
      </right>
      <top style="medium"/>
      <bottom>
        <color indexed="63"/>
      </bottom>
    </border>
    <border>
      <left style="medium"/>
      <right style="thin"/>
      <top style="thin"/>
      <bottom style="hair"/>
    </border>
    <border>
      <left style="thin"/>
      <right>
        <color indexed="63"/>
      </right>
      <top style="thin"/>
      <bottom style="hair"/>
    </border>
    <border>
      <left style="hair"/>
      <right style="thin"/>
      <top style="hair"/>
      <bottom>
        <color indexed="63"/>
      </bottom>
    </border>
    <border>
      <left style="hair"/>
      <right style="medium"/>
      <top style="hair"/>
      <bottom>
        <color indexed="63"/>
      </bottom>
    </border>
    <border>
      <left style="thick"/>
      <right>
        <color indexed="63"/>
      </right>
      <top style="hair"/>
      <bottom style="hair"/>
    </border>
    <border>
      <left>
        <color indexed="63"/>
      </left>
      <right style="thin"/>
      <top style="hair"/>
      <bottom style="hair"/>
    </border>
    <border>
      <left style="hair"/>
      <right style="thin"/>
      <top>
        <color indexed="63"/>
      </top>
      <bottom>
        <color indexed="63"/>
      </bottom>
    </border>
    <border>
      <left style="hair"/>
      <right style="medium"/>
      <top>
        <color indexed="63"/>
      </top>
      <bottom>
        <color indexed="63"/>
      </bottom>
    </border>
    <border>
      <left style="thin"/>
      <right style="hair"/>
      <top>
        <color indexed="63"/>
      </top>
      <bottom>
        <color indexed="63"/>
      </bottom>
    </border>
    <border>
      <left style="thick"/>
      <right style="hair"/>
      <top>
        <color indexed="63"/>
      </top>
      <bottom style="thick"/>
    </border>
    <border>
      <left style="hair"/>
      <right style="thin"/>
      <top>
        <color indexed="63"/>
      </top>
      <bottom style="thick"/>
    </border>
    <border>
      <left style="thin"/>
      <right style="hair"/>
      <top>
        <color indexed="63"/>
      </top>
      <bottom style="thick"/>
    </border>
    <border>
      <left style="hair"/>
      <right style="hair"/>
      <top>
        <color indexed="63"/>
      </top>
      <bottom style="thick"/>
    </border>
    <border>
      <left style="hair"/>
      <right style="medium"/>
      <top>
        <color indexed="63"/>
      </top>
      <bottom style="thick"/>
    </border>
    <border>
      <left>
        <color indexed="63"/>
      </left>
      <right>
        <color indexed="63"/>
      </right>
      <top>
        <color indexed="63"/>
      </top>
      <bottom style="thick"/>
    </border>
    <border>
      <left style="hair"/>
      <right>
        <color indexed="63"/>
      </right>
      <top>
        <color indexed="63"/>
      </top>
      <bottom style="thick"/>
    </border>
    <border>
      <left>
        <color indexed="63"/>
      </left>
      <right>
        <color indexed="63"/>
      </right>
      <top style="thick"/>
      <bottom style="medium"/>
    </border>
    <border>
      <left style="thick"/>
      <right style="hair"/>
      <top style="hair"/>
      <bottom style="hair"/>
    </border>
    <border>
      <left style="hair"/>
      <right style="thick"/>
      <top style="hair"/>
      <bottom>
        <color indexed="63"/>
      </bottom>
    </border>
    <border>
      <left>
        <color indexed="63"/>
      </left>
      <right style="medium"/>
      <top style="medium"/>
      <bottom style="hair"/>
    </border>
    <border>
      <left>
        <color indexed="63"/>
      </left>
      <right>
        <color indexed="63"/>
      </right>
      <top style="medium"/>
      <bottom style="hair"/>
    </border>
    <border>
      <left style="hair"/>
      <right style="hair"/>
      <top style="hair"/>
      <bottom style="hair"/>
    </border>
    <border>
      <left style="thick"/>
      <right style="hair"/>
      <top style="hair"/>
      <bottom>
        <color indexed="63"/>
      </bottom>
    </border>
    <border>
      <left style="medium"/>
      <right style="hair"/>
      <top style="hair"/>
      <bottom style="medium"/>
    </border>
    <border>
      <left style="hair"/>
      <right style="medium"/>
      <top style="hair"/>
      <bottom style="hair"/>
    </border>
    <border>
      <left style="medium"/>
      <right style="hair"/>
      <top style="hair"/>
      <bottom>
        <color indexed="63"/>
      </bottom>
    </border>
    <border>
      <left style="medium"/>
      <right style="hair"/>
      <top>
        <color indexed="63"/>
      </top>
      <bottom>
        <color indexed="63"/>
      </bottom>
    </border>
    <border>
      <left style="hair"/>
      <right style="thick"/>
      <top style="hair"/>
      <bottom style="hair"/>
    </border>
    <border>
      <left style="hair"/>
      <right style="thick"/>
      <top>
        <color indexed="63"/>
      </top>
      <bottom style="thick"/>
    </border>
    <border>
      <left style="hair"/>
      <right style="medium"/>
      <top style="hair"/>
      <bottom style="thick"/>
    </border>
    <border>
      <left style="medium"/>
      <right style="hair"/>
      <top>
        <color indexed="63"/>
      </top>
      <bottom style="thick"/>
    </border>
    <border>
      <left>
        <color indexed="63"/>
      </left>
      <right style="hair"/>
      <top style="thick"/>
      <bottom>
        <color indexed="63"/>
      </bottom>
    </border>
    <border>
      <left style="hair"/>
      <right style="thin"/>
      <top style="thick"/>
      <bottom>
        <color indexed="63"/>
      </bottom>
    </border>
    <border>
      <left>
        <color indexed="63"/>
      </left>
      <right style="hair"/>
      <top>
        <color indexed="63"/>
      </top>
      <bottom>
        <color indexed="63"/>
      </bottom>
    </border>
    <border>
      <left>
        <color indexed="63"/>
      </left>
      <right style="hair"/>
      <top>
        <color indexed="63"/>
      </top>
      <bottom style="hair"/>
    </border>
    <border>
      <left style="thick"/>
      <right style="thick"/>
      <top>
        <color indexed="63"/>
      </top>
      <bottom style="hair"/>
    </border>
    <border>
      <left>
        <color indexed="63"/>
      </left>
      <right style="thick"/>
      <top>
        <color indexed="63"/>
      </top>
      <bottom style="hair"/>
    </border>
    <border>
      <left>
        <color indexed="63"/>
      </left>
      <right>
        <color indexed="63"/>
      </right>
      <top>
        <color indexed="63"/>
      </top>
      <bottom style="hair"/>
    </border>
    <border>
      <left style="thick"/>
      <right style="thick"/>
      <top>
        <color indexed="63"/>
      </top>
      <bottom style="thick"/>
    </border>
    <border>
      <left style="hair"/>
      <right style="thin"/>
      <top>
        <color indexed="63"/>
      </top>
      <bottom style="thin"/>
    </border>
    <border>
      <left>
        <color indexed="63"/>
      </left>
      <right style="thick"/>
      <top style="thick"/>
      <bottom style="hair"/>
    </border>
    <border>
      <left style="thick"/>
      <right style="thick"/>
      <top style="thick"/>
      <bottom>
        <color indexed="63"/>
      </bottom>
    </border>
    <border>
      <left>
        <color indexed="63"/>
      </left>
      <right style="thick"/>
      <top style="hair"/>
      <bottom style="hair"/>
    </border>
    <border>
      <left>
        <color indexed="63"/>
      </left>
      <right style="thick"/>
      <top>
        <color indexed="63"/>
      </top>
      <bottom>
        <color indexed="63"/>
      </bottom>
    </border>
    <border>
      <left>
        <color indexed="63"/>
      </left>
      <right style="thin"/>
      <top style="hair"/>
      <bottom>
        <color indexed="63"/>
      </bottom>
    </border>
    <border>
      <left>
        <color indexed="63"/>
      </left>
      <right style="thin"/>
      <top style="thick"/>
      <bottom style="thick"/>
    </border>
    <border>
      <left style="thin"/>
      <right>
        <color indexed="63"/>
      </right>
      <top style="thick"/>
      <bottom style="thick"/>
    </border>
    <border>
      <left style="thick"/>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ck"/>
      <top>
        <color indexed="63"/>
      </top>
      <bottom style="thin"/>
    </border>
    <border>
      <left style="thick"/>
      <right style="thick"/>
      <top>
        <color indexed="63"/>
      </top>
      <bottom style="thin"/>
    </border>
    <border>
      <left style="thick"/>
      <right style="hair"/>
      <top style="thin"/>
      <bottom style="hair"/>
    </border>
    <border>
      <left style="hair"/>
      <right style="thick"/>
      <top style="thin"/>
      <bottom style="hair"/>
    </border>
    <border>
      <left style="thick"/>
      <right style="thick"/>
      <top>
        <color indexed="63"/>
      </top>
      <bottom>
        <color indexed="63"/>
      </bottom>
    </border>
    <border>
      <left style="hair"/>
      <right style="thick"/>
      <top>
        <color indexed="63"/>
      </top>
      <bottom style="hair"/>
    </border>
    <border>
      <left>
        <color indexed="63"/>
      </left>
      <right style="thick"/>
      <top style="thick"/>
      <bottom>
        <color indexed="63"/>
      </bottom>
    </border>
    <border>
      <left>
        <color indexed="63"/>
      </left>
      <right style="thin"/>
      <top>
        <color indexed="63"/>
      </top>
      <bottom style="hair"/>
    </border>
    <border>
      <left>
        <color indexed="63"/>
      </left>
      <right style="hair"/>
      <top style="hair"/>
      <bottom>
        <color indexed="63"/>
      </bottom>
    </border>
    <border>
      <left style="thick"/>
      <right style="thick"/>
      <top style="hair"/>
      <bottom style="thick"/>
    </border>
    <border>
      <left>
        <color indexed="63"/>
      </left>
      <right style="hair"/>
      <top>
        <color indexed="63"/>
      </top>
      <bottom style="thin"/>
    </border>
    <border>
      <left>
        <color indexed="63"/>
      </left>
      <right style="hair"/>
      <top>
        <color indexed="63"/>
      </top>
      <bottom style="thick"/>
    </border>
    <border>
      <left style="thick"/>
      <right style="thick"/>
      <top style="thick"/>
      <bottom style="thick"/>
    </border>
    <border>
      <left>
        <color indexed="63"/>
      </left>
      <right style="thick"/>
      <top>
        <color indexed="63"/>
      </top>
      <bottom style="thick"/>
    </border>
    <border>
      <left>
        <color indexed="63"/>
      </left>
      <right style="thin"/>
      <top>
        <color indexed="63"/>
      </top>
      <bottom style="thick"/>
    </border>
    <border>
      <left style="thin"/>
      <right>
        <color indexed="63"/>
      </right>
      <top>
        <color indexed="63"/>
      </top>
      <bottom style="thick"/>
    </border>
    <border>
      <left style="thin"/>
      <right style="thick"/>
      <top style="thick"/>
      <bottom>
        <color indexed="63"/>
      </bottom>
    </border>
    <border>
      <left style="thin"/>
      <right style="thick"/>
      <top style="medium"/>
      <bottom>
        <color indexed="63"/>
      </bottom>
    </border>
    <border>
      <left style="thin"/>
      <right style="thick"/>
      <top>
        <color indexed="63"/>
      </top>
      <bottom style="hair"/>
    </border>
    <border>
      <left style="thin"/>
      <right style="thick"/>
      <top style="hair"/>
      <bottom style="medium"/>
    </border>
    <border>
      <left>
        <color indexed="63"/>
      </left>
      <right style="thick"/>
      <top style="medium"/>
      <bottom>
        <color indexed="63"/>
      </bottom>
    </border>
    <border>
      <left>
        <color indexed="63"/>
      </left>
      <right>
        <color indexed="63"/>
      </right>
      <top style="hair"/>
      <bottom style="hair"/>
    </border>
    <border>
      <left style="thin"/>
      <right style="thick"/>
      <top style="thin"/>
      <bottom style="hair"/>
    </border>
    <border>
      <left>
        <color indexed="63"/>
      </left>
      <right style="thick"/>
      <top style="thick"/>
      <bottom style="medium"/>
    </border>
    <border>
      <left>
        <color indexed="63"/>
      </left>
      <right style="thick"/>
      <top style="medium"/>
      <bottom style="hair"/>
    </border>
    <border>
      <left style="hair"/>
      <right>
        <color indexed="63"/>
      </right>
      <top style="hair"/>
      <bottom style="hair"/>
    </border>
    <border>
      <left style="thin"/>
      <right style="thick"/>
      <top style="thick"/>
      <bottom style="thick"/>
    </border>
    <border>
      <left style="thin"/>
      <right style="thick"/>
      <top>
        <color indexed="63"/>
      </top>
      <bottom style="thick"/>
    </border>
    <border>
      <left style="medium"/>
      <right>
        <color indexed="63"/>
      </right>
      <top>
        <color indexed="63"/>
      </top>
      <bottom>
        <color indexed="63"/>
      </bottom>
    </border>
    <border>
      <left>
        <color indexed="63"/>
      </left>
      <right style="medium"/>
      <top style="hair"/>
      <bottom style="hair"/>
    </border>
    <border>
      <left style="medium"/>
      <right>
        <color indexed="63"/>
      </right>
      <top>
        <color indexed="63"/>
      </top>
      <bottom style="thin"/>
    </border>
    <border>
      <left style="thin"/>
      <right style="medium"/>
      <top style="thin"/>
      <bottom style="thin"/>
    </border>
    <border>
      <left style="medium"/>
      <right>
        <color indexed="63"/>
      </right>
      <top style="hair"/>
      <bottom style="hair"/>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hair"/>
      <bottom style="medium"/>
    </border>
    <border>
      <left>
        <color indexed="63"/>
      </left>
      <right style="medium"/>
      <top style="hair"/>
      <bottom style="medium"/>
    </border>
    <border>
      <left style="medium"/>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style="thin"/>
      <right style="thin"/>
      <top>
        <color indexed="63"/>
      </top>
      <bottom style="hair"/>
    </border>
    <border>
      <left style="medium"/>
      <right style="thin"/>
      <top style="medium"/>
      <bottom style="medium"/>
    </border>
    <border>
      <left style="thin"/>
      <right style="medium"/>
      <top style="medium"/>
      <bottom style="medium"/>
    </border>
    <border>
      <left style="thin"/>
      <right style="thin"/>
      <top style="hair"/>
      <bottom>
        <color indexed="63"/>
      </bottom>
    </border>
    <border>
      <left style="thin"/>
      <right>
        <color indexed="63"/>
      </right>
      <top style="hair"/>
      <bottom>
        <color indexed="63"/>
      </bottom>
    </border>
    <border>
      <left style="medium"/>
      <right style="thin"/>
      <top style="hair"/>
      <bottom>
        <color indexed="63"/>
      </bottom>
    </border>
    <border>
      <left style="thin"/>
      <right style="medium"/>
      <top style="hair"/>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color indexed="63"/>
      </left>
      <right style="medium"/>
      <top>
        <color indexed="63"/>
      </top>
      <bottom style="medium"/>
    </border>
    <border>
      <left style="medium"/>
      <right style="thin"/>
      <top style="thin"/>
      <bottom style="medium"/>
    </border>
    <border>
      <left>
        <color indexed="63"/>
      </left>
      <right>
        <color indexed="63"/>
      </right>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color indexed="63"/>
      </top>
      <bottom>
        <color indexed="63"/>
      </bottom>
    </border>
    <border>
      <left style="thin"/>
      <right style="medium"/>
      <top>
        <color indexed="63"/>
      </top>
      <bottom style="thin"/>
    </border>
    <border>
      <left style="thin"/>
      <right style="medium"/>
      <top style="medium"/>
      <bottom style="thin"/>
    </border>
    <border>
      <left>
        <color indexed="63"/>
      </left>
      <right style="hair"/>
      <top style="hair"/>
      <bottom style="hair"/>
    </border>
    <border>
      <left style="hair"/>
      <right style="thick"/>
      <top style="thin"/>
      <bottom>
        <color indexed="63"/>
      </bottom>
    </border>
    <border>
      <left>
        <color indexed="63"/>
      </left>
      <right style="hair"/>
      <top style="thin"/>
      <bottom>
        <color indexed="63"/>
      </bottom>
    </border>
    <border>
      <left style="hair"/>
      <right>
        <color indexed="63"/>
      </right>
      <top style="thin"/>
      <bottom>
        <color indexed="63"/>
      </bottom>
    </border>
    <border>
      <left>
        <color indexed="63"/>
      </left>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thick"/>
      <right>
        <color indexed="63"/>
      </right>
      <top style="thin"/>
      <bottom>
        <color indexed="63"/>
      </bottom>
    </border>
    <border>
      <left style="thin"/>
      <right style="hair"/>
      <top style="hair"/>
      <bottom>
        <color indexed="63"/>
      </bottom>
    </border>
    <border>
      <left style="thin"/>
      <right style="hair"/>
      <top>
        <color indexed="63"/>
      </top>
      <bottom style="thin"/>
    </border>
    <border>
      <left>
        <color indexed="63"/>
      </left>
      <right>
        <color indexed="63"/>
      </right>
      <top style="thick"/>
      <bottom>
        <color indexed="63"/>
      </bottom>
    </border>
    <border>
      <left>
        <color indexed="63"/>
      </left>
      <right style="hair"/>
      <top style="thick"/>
      <bottom style="medium"/>
    </border>
    <border>
      <left style="hair"/>
      <right>
        <color indexed="63"/>
      </right>
      <top style="thick"/>
      <bottom>
        <color indexed="63"/>
      </bottom>
    </border>
    <border>
      <left>
        <color indexed="63"/>
      </left>
      <right style="hair"/>
      <top style="medium"/>
      <bottom style="thin"/>
    </border>
    <border>
      <left style="hair"/>
      <right style="thin"/>
      <top style="medium"/>
      <bottom style="thin"/>
    </border>
    <border>
      <left style="hair"/>
      <right style="thin"/>
      <top style="thin"/>
      <bottom>
        <color indexed="63"/>
      </bottom>
    </border>
    <border>
      <left>
        <color indexed="63"/>
      </left>
      <right style="thick"/>
      <top style="hair"/>
      <bottom>
        <color indexed="63"/>
      </bottom>
    </border>
    <border>
      <left style="thick"/>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ck"/>
      <right>
        <color indexed="63"/>
      </right>
      <top style="thin"/>
      <bottom style="hair"/>
    </border>
    <border>
      <left>
        <color indexed="63"/>
      </left>
      <right style="thin"/>
      <top style="thin"/>
      <bottom style="hair"/>
    </border>
    <border>
      <left>
        <color indexed="63"/>
      </left>
      <right style="medium"/>
      <top style="thin"/>
      <bottom style="hair"/>
    </border>
    <border>
      <left style="medium"/>
      <right>
        <color indexed="63"/>
      </right>
      <top style="hair"/>
      <bottom>
        <color indexed="63"/>
      </bottom>
    </border>
    <border>
      <left style="medium"/>
      <right>
        <color indexed="63"/>
      </right>
      <top style="medium"/>
      <bottom style="hair"/>
    </border>
    <border>
      <left style="thick"/>
      <right>
        <color indexed="63"/>
      </right>
      <top style="thick"/>
      <bottom style="medium"/>
    </border>
    <border>
      <left style="hair"/>
      <right>
        <color indexed="63"/>
      </right>
      <top style="thick"/>
      <bottom style="medium"/>
    </border>
    <border>
      <left style="medium"/>
      <right>
        <color indexed="63"/>
      </right>
      <top>
        <color indexed="63"/>
      </top>
      <bottom style="hair"/>
    </border>
    <border>
      <left style="thick"/>
      <right>
        <color indexed="63"/>
      </right>
      <top>
        <color indexed="63"/>
      </top>
      <bottom style="thick"/>
    </border>
    <border>
      <left style="thick"/>
      <right>
        <color indexed="63"/>
      </right>
      <top>
        <color indexed="63"/>
      </top>
      <bottom style="hair"/>
    </border>
    <border>
      <left style="thick"/>
      <right style="hair"/>
      <top style="thick"/>
      <bottom>
        <color indexed="63"/>
      </bottom>
    </border>
    <border>
      <left style="hair"/>
      <right style="hair"/>
      <top style="thick"/>
      <bottom>
        <color indexed="63"/>
      </bottom>
    </border>
    <border>
      <left>
        <color indexed="63"/>
      </left>
      <right>
        <color indexed="63"/>
      </right>
      <top style="thick"/>
      <bottom style="hair"/>
    </border>
    <border>
      <left>
        <color indexed="63"/>
      </left>
      <right style="hair"/>
      <top style="thick"/>
      <bottom style="hair"/>
    </border>
    <border>
      <left style="hair"/>
      <right style="thick"/>
      <top style="thick"/>
      <bottom>
        <color indexed="63"/>
      </bottom>
    </border>
    <border>
      <left style="thick"/>
      <right>
        <color indexed="63"/>
      </right>
      <top style="thick"/>
      <bottom style="hair"/>
    </border>
    <border>
      <left>
        <color indexed="63"/>
      </left>
      <right style="thin"/>
      <top style="thin"/>
      <bottom style="thick"/>
    </border>
    <border>
      <left style="thick"/>
      <right style="thin"/>
      <top style="thick"/>
      <bottom>
        <color indexed="63"/>
      </bottom>
    </border>
    <border>
      <left style="thick"/>
      <right style="thin"/>
      <top>
        <color indexed="63"/>
      </top>
      <bottom style="hair"/>
    </border>
    <border>
      <left style="thick"/>
      <right>
        <color indexed="63"/>
      </right>
      <top style="thick"/>
      <bottom>
        <color indexed="63"/>
      </bottom>
    </border>
    <border>
      <left style="thick"/>
      <right style="thick"/>
      <top style="hair"/>
      <bottom>
        <color indexed="63"/>
      </bottom>
    </border>
    <border>
      <left style="thick"/>
      <right>
        <color indexed="63"/>
      </right>
      <top>
        <color indexed="63"/>
      </top>
      <bottom style="thin"/>
    </border>
    <border>
      <left style="thin"/>
      <right style="hair"/>
      <top style="thin"/>
      <bottom>
        <color indexed="63"/>
      </bottom>
    </border>
    <border>
      <left style="thin"/>
      <right style="thick"/>
      <top style="thin"/>
      <bottom>
        <color indexed="63"/>
      </bottom>
    </border>
    <border>
      <left style="thin"/>
      <right style="thick"/>
      <top>
        <color indexed="63"/>
      </top>
      <bottom>
        <color indexed="63"/>
      </bottom>
    </border>
    <border>
      <left style="thick"/>
      <right>
        <color indexed="63"/>
      </right>
      <top style="hair"/>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color indexed="63"/>
      </top>
      <bottom style="thin"/>
    </border>
    <border>
      <left>
        <color indexed="63"/>
      </left>
      <right style="medium"/>
      <top style="thin"/>
      <bottom style="thin"/>
    </border>
    <border>
      <left style="medium"/>
      <right style="thin"/>
      <top>
        <color indexed="63"/>
      </top>
      <bottom style="thin"/>
    </border>
    <border>
      <left style="thin"/>
      <right style="thin"/>
      <top style="medium"/>
      <bottom style="thin"/>
    </border>
    <border>
      <left style="thin"/>
      <right style="medium"/>
      <top style="thin"/>
      <bottom style="medium"/>
    </border>
    <border>
      <left style="thin"/>
      <right style="medium"/>
      <top style="thin"/>
      <bottom>
        <color indexed="63"/>
      </bottom>
    </border>
    <border>
      <left style="thin"/>
      <right style="medium"/>
      <top style="medium"/>
      <bottom>
        <color indexed="63"/>
      </bottom>
    </border>
    <border>
      <left style="medium"/>
      <right style="medium"/>
      <top>
        <color indexed="63"/>
      </top>
      <bottom style="thin"/>
    </border>
    <border>
      <left style="medium"/>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95">
    <xf numFmtId="0" fontId="0" fillId="0" borderId="0" xfId="0" applyAlignment="1">
      <alignment/>
    </xf>
    <xf numFmtId="0" fontId="17" fillId="0" borderId="0" xfId="0" applyFont="1" applyAlignment="1">
      <alignment horizontal="center" vertical="center" wrapText="1"/>
    </xf>
    <xf numFmtId="0" fontId="23" fillId="0" borderId="1" xfId="0" applyFont="1" applyBorder="1" applyAlignment="1">
      <alignment horizontal="center" vertical="center" wrapText="1"/>
    </xf>
    <xf numFmtId="4" fontId="24" fillId="0" borderId="1" xfId="0" applyNumberFormat="1" applyFont="1" applyBorder="1" applyAlignment="1">
      <alignment horizontal="center" vertical="center" wrapText="1"/>
    </xf>
    <xf numFmtId="0" fontId="27" fillId="0" borderId="2" xfId="0" applyFont="1" applyBorder="1" applyAlignment="1">
      <alignment vertical="center" wrapText="1"/>
    </xf>
    <xf numFmtId="0" fontId="0" fillId="0" borderId="3" xfId="0" applyBorder="1" applyAlignment="1">
      <alignment/>
    </xf>
    <xf numFmtId="4" fontId="24" fillId="2" borderId="1" xfId="0" applyNumberFormat="1" applyFont="1" applyFill="1" applyBorder="1" applyAlignment="1">
      <alignment horizontal="center" vertical="center" wrapText="1"/>
    </xf>
    <xf numFmtId="0" fontId="21" fillId="3" borderId="1"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33" fillId="5" borderId="0" xfId="0" applyFont="1" applyFill="1" applyAlignment="1">
      <alignment horizontal="center" vertical="center" wrapText="1"/>
    </xf>
    <xf numFmtId="0" fontId="33" fillId="5" borderId="1" xfId="0" applyFont="1" applyFill="1" applyBorder="1" applyAlignment="1">
      <alignment horizontal="center" vertical="center" wrapText="1"/>
    </xf>
    <xf numFmtId="0" fontId="33" fillId="5" borderId="7" xfId="0" applyFont="1" applyFill="1" applyBorder="1" applyAlignment="1">
      <alignment horizontal="center" vertical="center" wrapText="1"/>
    </xf>
    <xf numFmtId="10" fontId="34" fillId="5" borderId="1" xfId="0" applyNumberFormat="1" applyFont="1" applyFill="1" applyBorder="1" applyAlignment="1">
      <alignment horizontal="center" vertical="center" wrapText="1"/>
    </xf>
    <xf numFmtId="4" fontId="34" fillId="5" borderId="1" xfId="0" applyNumberFormat="1" applyFont="1" applyFill="1" applyBorder="1" applyAlignment="1">
      <alignment horizontal="center" vertical="center" wrapText="1"/>
    </xf>
    <xf numFmtId="0" fontId="34" fillId="5" borderId="1" xfId="0" applyFont="1" applyFill="1" applyBorder="1" applyAlignment="1">
      <alignment horizontal="center" vertical="center" wrapText="1"/>
    </xf>
    <xf numFmtId="0" fontId="33" fillId="5" borderId="0" xfId="0" applyFont="1" applyFill="1" applyAlignment="1">
      <alignment horizontal="left" vertical="center" wrapText="1"/>
    </xf>
    <xf numFmtId="0" fontId="33" fillId="5" borderId="0" xfId="0" applyFont="1" applyFill="1" applyBorder="1" applyAlignment="1">
      <alignment horizontal="center" vertical="center" wrapText="1"/>
    </xf>
    <xf numFmtId="0" fontId="35" fillId="5" borderId="1" xfId="0" applyFont="1" applyFill="1" applyBorder="1" applyAlignment="1">
      <alignment horizontal="center" vertical="center" wrapText="1"/>
    </xf>
    <xf numFmtId="10" fontId="37" fillId="5" borderId="1" xfId="0" applyNumberFormat="1" applyFont="1" applyFill="1" applyBorder="1" applyAlignment="1">
      <alignment horizontal="center" vertical="center" wrapText="1"/>
    </xf>
    <xf numFmtId="4" fontId="37" fillId="5" borderId="1" xfId="0" applyNumberFormat="1" applyFont="1" applyFill="1" applyBorder="1" applyAlignment="1">
      <alignment horizontal="center" vertical="center" wrapText="1"/>
    </xf>
    <xf numFmtId="0" fontId="37" fillId="5" borderId="1" xfId="0" applyFont="1" applyFill="1" applyBorder="1" applyAlignment="1">
      <alignment horizontal="center" vertical="center" wrapText="1"/>
    </xf>
    <xf numFmtId="4" fontId="37" fillId="5" borderId="0" xfId="0" applyNumberFormat="1" applyFont="1" applyFill="1" applyBorder="1" applyAlignment="1">
      <alignment horizontal="center" vertical="center" wrapText="1"/>
    </xf>
    <xf numFmtId="0" fontId="35" fillId="5" borderId="7" xfId="0" applyFont="1" applyFill="1" applyBorder="1" applyAlignment="1">
      <alignment horizontal="center" vertical="center" wrapText="1"/>
    </xf>
    <xf numFmtId="10" fontId="37" fillId="5" borderId="8" xfId="0" applyNumberFormat="1" applyFont="1" applyFill="1" applyBorder="1" applyAlignment="1">
      <alignment horizontal="center" vertical="center" wrapText="1"/>
    </xf>
    <xf numFmtId="4" fontId="37" fillId="5" borderId="8" xfId="0" applyNumberFormat="1" applyFont="1" applyFill="1" applyBorder="1" applyAlignment="1">
      <alignment horizontal="center" vertical="center" wrapText="1"/>
    </xf>
    <xf numFmtId="0" fontId="37" fillId="5" borderId="8" xfId="0" applyFont="1" applyFill="1" applyBorder="1" applyAlignment="1">
      <alignment horizontal="center" vertical="center" wrapText="1"/>
    </xf>
    <xf numFmtId="4" fontId="37" fillId="5" borderId="9" xfId="0" applyNumberFormat="1" applyFont="1" applyFill="1" applyBorder="1" applyAlignment="1">
      <alignment horizontal="center" vertical="center" wrapText="1"/>
    </xf>
    <xf numFmtId="0" fontId="36" fillId="5" borderId="1" xfId="0" applyFont="1" applyFill="1" applyBorder="1" applyAlignment="1">
      <alignment horizontal="center" vertical="center" wrapText="1"/>
    </xf>
    <xf numFmtId="0" fontId="38" fillId="5" borderId="9" xfId="0" applyFont="1" applyFill="1" applyBorder="1" applyAlignment="1">
      <alignment horizontal="center" vertical="center" wrapText="1"/>
    </xf>
    <xf numFmtId="0" fontId="38" fillId="5" borderId="0" xfId="0" applyFont="1" applyFill="1" applyBorder="1" applyAlignment="1">
      <alignment horizontal="center" vertical="center" wrapText="1"/>
    </xf>
    <xf numFmtId="4" fontId="38" fillId="5" borderId="0" xfId="0" applyNumberFormat="1" applyFont="1" applyFill="1" applyBorder="1" applyAlignment="1">
      <alignment horizontal="center" vertical="center" wrapText="1"/>
    </xf>
    <xf numFmtId="0" fontId="38" fillId="5" borderId="10" xfId="0" applyFont="1" applyFill="1" applyBorder="1" applyAlignment="1">
      <alignment horizontal="center" vertical="center" wrapText="1"/>
    </xf>
    <xf numFmtId="4" fontId="38" fillId="5" borderId="1" xfId="0" applyNumberFormat="1" applyFont="1" applyFill="1" applyBorder="1" applyAlignment="1">
      <alignment horizontal="center" vertical="center" wrapText="1"/>
    </xf>
    <xf numFmtId="0" fontId="38" fillId="5" borderId="9" xfId="0" applyFont="1" applyFill="1" applyBorder="1" applyAlignment="1">
      <alignment horizontal="right" vertical="center" wrapText="1"/>
    </xf>
    <xf numFmtId="0" fontId="38" fillId="5" borderId="10" xfId="0" applyFont="1" applyFill="1" applyBorder="1" applyAlignment="1">
      <alignment horizontal="left" vertical="center" wrapText="1"/>
    </xf>
    <xf numFmtId="0" fontId="38" fillId="5" borderId="11" xfId="0" applyFont="1" applyFill="1" applyBorder="1" applyAlignment="1">
      <alignment horizontal="right" vertical="center" wrapText="1"/>
    </xf>
    <xf numFmtId="0" fontId="38" fillId="5" borderId="12" xfId="0" applyFont="1" applyFill="1" applyBorder="1" applyAlignment="1">
      <alignment horizontal="center" vertical="center" wrapText="1"/>
    </xf>
    <xf numFmtId="4" fontId="38" fillId="5" borderId="12" xfId="0" applyNumberFormat="1" applyFont="1" applyFill="1" applyBorder="1" applyAlignment="1">
      <alignment horizontal="center" vertical="center" wrapText="1"/>
    </xf>
    <xf numFmtId="0" fontId="38" fillId="5" borderId="13" xfId="0" applyFont="1" applyFill="1" applyBorder="1" applyAlignment="1">
      <alignment horizontal="left" vertical="center" wrapText="1"/>
    </xf>
    <xf numFmtId="0" fontId="37" fillId="5" borderId="0" xfId="0" applyFont="1" applyFill="1" applyBorder="1" applyAlignment="1">
      <alignment horizontal="center" vertical="center" wrapText="1"/>
    </xf>
    <xf numFmtId="0" fontId="33" fillId="5" borderId="0" xfId="0" applyFont="1" applyFill="1" applyAlignment="1">
      <alignment horizontal="right" vertical="center" wrapText="1"/>
    </xf>
    <xf numFmtId="4" fontId="33" fillId="5" borderId="0" xfId="0" applyNumberFormat="1" applyFont="1" applyFill="1" applyAlignment="1">
      <alignment horizontal="center" vertical="center" wrapText="1"/>
    </xf>
    <xf numFmtId="0" fontId="38" fillId="5" borderId="1" xfId="0" applyFont="1" applyFill="1" applyBorder="1" applyAlignment="1">
      <alignment horizontal="right" vertical="center" wrapText="1"/>
    </xf>
    <xf numFmtId="4" fontId="33" fillId="5" borderId="1" xfId="0" applyNumberFormat="1" applyFont="1" applyFill="1" applyBorder="1" applyAlignment="1">
      <alignment horizontal="center" vertical="center" wrapText="1"/>
    </xf>
    <xf numFmtId="0" fontId="40" fillId="5" borderId="0" xfId="0" applyFont="1" applyFill="1" applyBorder="1" applyAlignment="1">
      <alignment horizontal="center" vertical="center" wrapText="1"/>
    </xf>
    <xf numFmtId="4" fontId="41" fillId="5" borderId="1" xfId="0" applyNumberFormat="1" applyFont="1" applyFill="1" applyBorder="1" applyAlignment="1">
      <alignment horizontal="center" vertical="center" wrapText="1"/>
    </xf>
    <xf numFmtId="10" fontId="41" fillId="5" borderId="1" xfId="0" applyNumberFormat="1" applyFont="1" applyFill="1" applyBorder="1" applyAlignment="1">
      <alignment horizontal="center" vertical="center" wrapText="1"/>
    </xf>
    <xf numFmtId="0" fontId="42" fillId="5" borderId="1" xfId="0" applyNumberFormat="1" applyFont="1" applyFill="1" applyBorder="1" applyAlignment="1">
      <alignment horizontal="center" vertical="center" wrapText="1"/>
    </xf>
    <xf numFmtId="4" fontId="32" fillId="5" borderId="1" xfId="0" applyNumberFormat="1" applyFont="1" applyFill="1" applyBorder="1" applyAlignment="1">
      <alignment horizontal="center" vertical="center" wrapText="1"/>
    </xf>
    <xf numFmtId="4" fontId="43" fillId="5" borderId="1" xfId="0" applyNumberFormat="1" applyFont="1" applyFill="1" applyBorder="1" applyAlignment="1">
      <alignment horizontal="center" vertical="center" wrapText="1"/>
    </xf>
    <xf numFmtId="4" fontId="46" fillId="5" borderId="14" xfId="0" applyNumberFormat="1" applyFont="1" applyFill="1" applyBorder="1" applyAlignment="1">
      <alignment horizontal="center" vertical="center"/>
    </xf>
    <xf numFmtId="4" fontId="44" fillId="5" borderId="7" xfId="0" applyNumberFormat="1" applyFont="1" applyFill="1" applyBorder="1" applyAlignment="1">
      <alignment horizontal="left" vertical="center" wrapText="1"/>
    </xf>
    <xf numFmtId="0" fontId="45" fillId="6" borderId="15" xfId="0" applyNumberFormat="1" applyFont="1" applyFill="1" applyBorder="1" applyAlignment="1">
      <alignment horizontal="center" vertical="center" wrapText="1"/>
    </xf>
    <xf numFmtId="0" fontId="46" fillId="6" borderId="15" xfId="0" applyNumberFormat="1" applyFont="1" applyFill="1" applyBorder="1" applyAlignment="1">
      <alignment horizontal="center" vertical="center" wrapText="1"/>
    </xf>
    <xf numFmtId="4" fontId="47" fillId="5" borderId="7" xfId="0" applyNumberFormat="1" applyFont="1" applyFill="1" applyBorder="1" applyAlignment="1">
      <alignment horizontal="left" vertical="center" wrapText="1"/>
    </xf>
    <xf numFmtId="4" fontId="46" fillId="5" borderId="15" xfId="0" applyNumberFormat="1" applyFont="1" applyFill="1" applyBorder="1" applyAlignment="1">
      <alignment horizontal="center" vertical="center" wrapText="1"/>
    </xf>
    <xf numFmtId="4" fontId="48" fillId="5" borderId="16" xfId="0" applyNumberFormat="1" applyFont="1" applyFill="1" applyBorder="1" applyAlignment="1">
      <alignment horizontal="center" vertical="center" wrapText="1"/>
    </xf>
    <xf numFmtId="4" fontId="49" fillId="5" borderId="7" xfId="0" applyNumberFormat="1" applyFont="1" applyFill="1" applyBorder="1" applyAlignment="1">
      <alignment horizontal="center" vertical="center" wrapText="1"/>
    </xf>
    <xf numFmtId="4" fontId="46" fillId="5" borderId="16" xfId="0" applyNumberFormat="1" applyFont="1" applyFill="1" applyBorder="1" applyAlignment="1">
      <alignment horizontal="center" vertical="center" wrapText="1"/>
    </xf>
    <xf numFmtId="4" fontId="48" fillId="5" borderId="15" xfId="0" applyNumberFormat="1" applyFont="1" applyFill="1" applyBorder="1" applyAlignment="1">
      <alignment horizontal="center" vertical="center" wrapText="1"/>
    </xf>
    <xf numFmtId="10" fontId="46" fillId="5" borderId="16" xfId="0" applyNumberFormat="1" applyFont="1" applyFill="1" applyBorder="1" applyAlignment="1">
      <alignment horizontal="center" vertical="center" wrapText="1"/>
    </xf>
    <xf numFmtId="4" fontId="50" fillId="5" borderId="7" xfId="0" applyNumberFormat="1" applyFont="1" applyFill="1" applyBorder="1" applyAlignment="1">
      <alignment horizontal="left" vertical="center" wrapText="1"/>
    </xf>
    <xf numFmtId="4" fontId="46" fillId="5" borderId="15" xfId="0" applyNumberFormat="1" applyFont="1" applyFill="1" applyBorder="1" applyAlignment="1">
      <alignment horizontal="center" vertical="center" wrapText="1"/>
    </xf>
    <xf numFmtId="4" fontId="49" fillId="5" borderId="17" xfId="0" applyNumberFormat="1" applyFont="1" applyFill="1" applyBorder="1" applyAlignment="1">
      <alignment horizontal="center" vertical="center" wrapText="1"/>
    </xf>
    <xf numFmtId="4" fontId="46" fillId="5" borderId="18" xfId="0" applyNumberFormat="1" applyFont="1" applyFill="1" applyBorder="1" applyAlignment="1">
      <alignment horizontal="center" vertical="center" wrapText="1"/>
    </xf>
    <xf numFmtId="4" fontId="49" fillId="5" borderId="11" xfId="0" applyNumberFormat="1" applyFont="1" applyFill="1" applyBorder="1" applyAlignment="1">
      <alignment horizontal="left" vertical="center" wrapText="1"/>
    </xf>
    <xf numFmtId="4" fontId="48" fillId="5" borderId="15" xfId="0" applyNumberFormat="1" applyFont="1" applyFill="1" applyBorder="1" applyAlignment="1">
      <alignment horizontal="left" vertical="center" wrapText="1"/>
    </xf>
    <xf numFmtId="4" fontId="51" fillId="5" borderId="15" xfId="0" applyNumberFormat="1" applyFont="1" applyFill="1" applyBorder="1" applyAlignment="1">
      <alignment horizontal="left" vertical="center" wrapText="1"/>
    </xf>
    <xf numFmtId="4" fontId="33" fillId="5" borderId="15" xfId="0" applyNumberFormat="1" applyFont="1" applyFill="1" applyBorder="1" applyAlignment="1">
      <alignment horizontal="center" vertical="center" wrapText="1"/>
    </xf>
    <xf numFmtId="4" fontId="49" fillId="5" borderId="11" xfId="0" applyNumberFormat="1" applyFont="1" applyFill="1" applyBorder="1" applyAlignment="1">
      <alignment horizontal="center" vertical="center" wrapText="1"/>
    </xf>
    <xf numFmtId="10" fontId="46" fillId="5" borderId="13" xfId="0" applyNumberFormat="1" applyFont="1" applyFill="1" applyBorder="1" applyAlignment="1">
      <alignment horizontal="center" vertical="center" wrapText="1"/>
    </xf>
    <xf numFmtId="4" fontId="44" fillId="5" borderId="11" xfId="0" applyNumberFormat="1" applyFont="1" applyFill="1" applyBorder="1" applyAlignment="1">
      <alignment horizontal="center" vertical="center" wrapText="1"/>
    </xf>
    <xf numFmtId="4" fontId="49" fillId="5" borderId="11" xfId="0" applyNumberFormat="1" applyFont="1" applyFill="1" applyBorder="1" applyAlignment="1">
      <alignment horizontal="center" vertical="center" wrapText="1"/>
    </xf>
    <xf numFmtId="4" fontId="49" fillId="5" borderId="12" xfId="0" applyNumberFormat="1" applyFont="1" applyFill="1" applyBorder="1" applyAlignment="1">
      <alignment horizontal="center" vertical="center" wrapText="1"/>
    </xf>
    <xf numFmtId="4" fontId="46" fillId="5" borderId="1" xfId="0" applyNumberFormat="1" applyFont="1" applyFill="1" applyBorder="1" applyAlignment="1">
      <alignment horizontal="center" vertical="center" wrapText="1"/>
    </xf>
    <xf numFmtId="4" fontId="48" fillId="5" borderId="0" xfId="0" applyNumberFormat="1" applyFont="1" applyFill="1" applyBorder="1" applyAlignment="1">
      <alignment horizontal="left" vertical="center" wrapText="1"/>
    </xf>
    <xf numFmtId="4" fontId="51" fillId="5" borderId="0" xfId="0" applyNumberFormat="1" applyFont="1" applyFill="1" applyBorder="1" applyAlignment="1">
      <alignment horizontal="left" vertical="center" wrapText="1"/>
    </xf>
    <xf numFmtId="172" fontId="52" fillId="5" borderId="16" xfId="0" applyNumberFormat="1" applyFont="1" applyFill="1" applyBorder="1" applyAlignment="1">
      <alignment horizontal="center" vertical="center" wrapText="1"/>
    </xf>
    <xf numFmtId="4" fontId="48" fillId="5" borderId="16" xfId="0" applyNumberFormat="1" applyFont="1" applyFill="1" applyBorder="1" applyAlignment="1">
      <alignment horizontal="center" vertical="center"/>
    </xf>
    <xf numFmtId="4" fontId="48" fillId="5" borderId="7" xfId="0" applyNumberFormat="1" applyFont="1" applyFill="1" applyBorder="1" applyAlignment="1">
      <alignment horizontal="left" vertical="center" wrapText="1"/>
    </xf>
    <xf numFmtId="4" fontId="53" fillId="5" borderId="16" xfId="0" applyNumberFormat="1" applyFont="1" applyFill="1" applyBorder="1" applyAlignment="1">
      <alignment horizontal="center" vertical="center" wrapText="1"/>
    </xf>
    <xf numFmtId="10" fontId="46" fillId="5" borderId="19" xfId="0" applyNumberFormat="1" applyFont="1" applyFill="1" applyBorder="1" applyAlignment="1">
      <alignment horizontal="center" vertical="center" wrapText="1"/>
    </xf>
    <xf numFmtId="10" fontId="46" fillId="5" borderId="20" xfId="0" applyNumberFormat="1" applyFont="1" applyFill="1" applyBorder="1" applyAlignment="1">
      <alignment horizontal="center" vertical="center" wrapText="1"/>
    </xf>
    <xf numFmtId="10" fontId="54" fillId="5" borderId="1" xfId="0" applyNumberFormat="1" applyFont="1" applyFill="1" applyBorder="1" applyAlignment="1">
      <alignment horizontal="center" vertical="center" wrapText="1"/>
    </xf>
    <xf numFmtId="2" fontId="46" fillId="5" borderId="15" xfId="0" applyNumberFormat="1" applyFont="1" applyFill="1" applyBorder="1" applyAlignment="1">
      <alignment horizontal="center" vertical="center" wrapText="1"/>
    </xf>
    <xf numFmtId="4" fontId="48" fillId="5" borderId="21" xfId="0" applyNumberFormat="1" applyFont="1" applyFill="1" applyBorder="1" applyAlignment="1">
      <alignment horizontal="center" vertical="center" wrapText="1"/>
    </xf>
    <xf numFmtId="4" fontId="51" fillId="5" borderId="22" xfId="0" applyNumberFormat="1" applyFont="1" applyFill="1" applyBorder="1" applyAlignment="1">
      <alignment horizontal="center" vertical="center" wrapText="1"/>
    </xf>
    <xf numFmtId="4" fontId="57" fillId="5" borderId="23" xfId="0" applyNumberFormat="1" applyFont="1" applyFill="1" applyBorder="1" applyAlignment="1">
      <alignment horizontal="center" vertical="center" wrapText="1"/>
    </xf>
    <xf numFmtId="4" fontId="48" fillId="5" borderId="24" xfId="0" applyNumberFormat="1" applyFont="1" applyFill="1" applyBorder="1" applyAlignment="1">
      <alignment horizontal="center" vertical="center" wrapText="1"/>
    </xf>
    <xf numFmtId="4" fontId="51" fillId="5" borderId="1" xfId="0" applyNumberFormat="1" applyFont="1" applyFill="1" applyBorder="1" applyAlignment="1">
      <alignment horizontal="center" vertical="center" wrapText="1"/>
    </xf>
    <xf numFmtId="4" fontId="58" fillId="5" borderId="0" xfId="0" applyNumberFormat="1" applyFont="1" applyFill="1" applyBorder="1" applyAlignment="1">
      <alignment horizontal="center" vertical="center" wrapText="1"/>
    </xf>
    <xf numFmtId="4" fontId="38" fillId="5" borderId="0" xfId="0" applyNumberFormat="1" applyFont="1" applyFill="1" applyBorder="1" applyAlignment="1">
      <alignment horizontal="left" vertical="center" wrapText="1"/>
    </xf>
    <xf numFmtId="4" fontId="38" fillId="5" borderId="0" xfId="0" applyNumberFormat="1" applyFont="1" applyFill="1" applyBorder="1" applyAlignment="1">
      <alignment horizontal="center" vertical="center"/>
    </xf>
    <xf numFmtId="4" fontId="58" fillId="5" borderId="0" xfId="0" applyNumberFormat="1" applyFont="1" applyFill="1" applyBorder="1" applyAlignment="1">
      <alignment horizontal="center" vertical="center"/>
    </xf>
    <xf numFmtId="4" fontId="60" fillId="5" borderId="0" xfId="0" applyNumberFormat="1" applyFont="1" applyFill="1" applyBorder="1" applyAlignment="1">
      <alignment horizontal="center" vertical="center"/>
    </xf>
    <xf numFmtId="4" fontId="48" fillId="5" borderId="0" xfId="0" applyNumberFormat="1" applyFont="1" applyFill="1" applyBorder="1" applyAlignment="1">
      <alignment horizontal="center" vertical="center"/>
    </xf>
    <xf numFmtId="4" fontId="61" fillId="5" borderId="0" xfId="0" applyNumberFormat="1" applyFont="1" applyFill="1" applyBorder="1" applyAlignment="1">
      <alignment horizontal="center" vertical="center"/>
    </xf>
    <xf numFmtId="4" fontId="46" fillId="5" borderId="0" xfId="0" applyNumberFormat="1" applyFont="1" applyFill="1" applyBorder="1" applyAlignment="1">
      <alignment horizontal="center" vertical="center"/>
    </xf>
    <xf numFmtId="4" fontId="62" fillId="5" borderId="0" xfId="0" applyNumberFormat="1" applyFont="1" applyFill="1" applyBorder="1" applyAlignment="1">
      <alignment horizontal="center" vertical="center"/>
    </xf>
    <xf numFmtId="4" fontId="34" fillId="5" borderId="0" xfId="0" applyNumberFormat="1" applyFont="1" applyFill="1" applyBorder="1" applyAlignment="1">
      <alignment horizontal="right" vertical="center"/>
    </xf>
    <xf numFmtId="4" fontId="48" fillId="5" borderId="0" xfId="0" applyNumberFormat="1" applyFont="1" applyFill="1" applyBorder="1" applyAlignment="1">
      <alignment horizontal="left" vertical="center"/>
    </xf>
    <xf numFmtId="4" fontId="38" fillId="5" borderId="0" xfId="0" applyNumberFormat="1" applyFont="1" applyFill="1" applyBorder="1" applyAlignment="1">
      <alignment horizontal="left" vertical="center"/>
    </xf>
    <xf numFmtId="4" fontId="63" fillId="5" borderId="0" xfId="0" applyNumberFormat="1" applyFont="1" applyFill="1" applyBorder="1" applyAlignment="1">
      <alignment horizontal="center" vertical="center"/>
    </xf>
    <xf numFmtId="4" fontId="64" fillId="5" borderId="0" xfId="0" applyNumberFormat="1" applyFont="1" applyFill="1" applyBorder="1" applyAlignment="1">
      <alignment horizontal="center" vertical="center"/>
    </xf>
    <xf numFmtId="4" fontId="64" fillId="5" borderId="0" xfId="0" applyNumberFormat="1" applyFont="1" applyFill="1" applyBorder="1" applyAlignment="1">
      <alignment horizontal="left" vertical="center"/>
    </xf>
    <xf numFmtId="4" fontId="53" fillId="5" borderId="0" xfId="0" applyNumberFormat="1" applyFont="1" applyFill="1" applyBorder="1" applyAlignment="1">
      <alignment horizontal="center" vertical="center"/>
    </xf>
    <xf numFmtId="4" fontId="43" fillId="5" borderId="0" xfId="0" applyNumberFormat="1" applyFont="1" applyFill="1" applyBorder="1" applyAlignment="1">
      <alignment horizontal="center" vertical="center"/>
    </xf>
    <xf numFmtId="4" fontId="58" fillId="5" borderId="12" xfId="0" applyNumberFormat="1" applyFont="1" applyFill="1" applyBorder="1" applyAlignment="1">
      <alignment horizontal="center" vertical="center"/>
    </xf>
    <xf numFmtId="4" fontId="38" fillId="5" borderId="12" xfId="0" applyNumberFormat="1" applyFont="1" applyFill="1" applyBorder="1" applyAlignment="1">
      <alignment horizontal="center" vertical="center"/>
    </xf>
    <xf numFmtId="4" fontId="57" fillId="5" borderId="25" xfId="0" applyNumberFormat="1" applyFont="1" applyFill="1" applyBorder="1" applyAlignment="1">
      <alignment horizontal="center" vertical="center"/>
    </xf>
    <xf numFmtId="4" fontId="66" fillId="5" borderId="26" xfId="0" applyNumberFormat="1" applyFont="1" applyFill="1" applyBorder="1" applyAlignment="1">
      <alignment horizontal="left" vertical="center"/>
    </xf>
    <xf numFmtId="4" fontId="66" fillId="5" borderId="27" xfId="0" applyNumberFormat="1" applyFont="1" applyFill="1" applyBorder="1" applyAlignment="1">
      <alignment horizontal="center" vertical="center"/>
    </xf>
    <xf numFmtId="4" fontId="66" fillId="5" borderId="28" xfId="0" applyNumberFormat="1" applyFont="1" applyFill="1" applyBorder="1" applyAlignment="1">
      <alignment horizontal="center" vertical="center"/>
    </xf>
    <xf numFmtId="4" fontId="33" fillId="5" borderId="0" xfId="0" applyNumberFormat="1" applyFont="1" applyFill="1" applyBorder="1" applyAlignment="1">
      <alignment horizontal="left" vertical="center"/>
    </xf>
    <xf numFmtId="4" fontId="33" fillId="5" borderId="0" xfId="0" applyNumberFormat="1" applyFont="1" applyFill="1" applyBorder="1" applyAlignment="1">
      <alignment horizontal="center" vertical="center"/>
    </xf>
    <xf numFmtId="4" fontId="68" fillId="5" borderId="29" xfId="0" applyNumberFormat="1" applyFont="1" applyFill="1" applyBorder="1" applyAlignment="1">
      <alignment horizontal="center" vertical="center" wrapText="1"/>
    </xf>
    <xf numFmtId="4" fontId="67" fillId="5" borderId="30" xfId="0" applyNumberFormat="1" applyFont="1" applyFill="1" applyBorder="1" applyAlignment="1">
      <alignment horizontal="center" vertical="center" wrapText="1"/>
    </xf>
    <xf numFmtId="4" fontId="57" fillId="5" borderId="31" xfId="0" applyNumberFormat="1" applyFont="1" applyFill="1" applyBorder="1" applyAlignment="1">
      <alignment horizontal="center" vertical="center"/>
    </xf>
    <xf numFmtId="4" fontId="46" fillId="5" borderId="32" xfId="0" applyNumberFormat="1" applyFont="1" applyFill="1" applyBorder="1" applyAlignment="1">
      <alignment horizontal="center" vertical="center"/>
    </xf>
    <xf numFmtId="4" fontId="38" fillId="5" borderId="33" xfId="0" applyNumberFormat="1" applyFont="1" applyFill="1" applyBorder="1" applyAlignment="1">
      <alignment horizontal="center" vertical="center"/>
    </xf>
    <xf numFmtId="4" fontId="38" fillId="5" borderId="10" xfId="0" applyNumberFormat="1" applyFont="1" applyFill="1" applyBorder="1" applyAlignment="1">
      <alignment horizontal="center" vertical="center"/>
    </xf>
    <xf numFmtId="4" fontId="68" fillId="5" borderId="30" xfId="0" applyNumberFormat="1" applyFont="1" applyFill="1" applyBorder="1" applyAlignment="1">
      <alignment horizontal="center" vertical="center" wrapText="1"/>
    </xf>
    <xf numFmtId="4" fontId="68" fillId="5" borderId="30" xfId="0" applyNumberFormat="1" applyFont="1" applyFill="1" applyBorder="1" applyAlignment="1">
      <alignment horizontal="center" vertical="center"/>
    </xf>
    <xf numFmtId="4" fontId="38" fillId="5" borderId="2" xfId="0" applyNumberFormat="1" applyFont="1" applyFill="1" applyBorder="1" applyAlignment="1">
      <alignment horizontal="center" vertical="center"/>
    </xf>
    <xf numFmtId="4" fontId="71" fillId="5" borderId="30" xfId="0" applyNumberFormat="1" applyFont="1" applyFill="1" applyBorder="1" applyAlignment="1">
      <alignment horizontal="center" vertical="center"/>
    </xf>
    <xf numFmtId="4" fontId="72" fillId="5" borderId="34" xfId="0" applyNumberFormat="1" applyFont="1" applyFill="1" applyBorder="1" applyAlignment="1">
      <alignment horizontal="center" vertical="center"/>
    </xf>
    <xf numFmtId="4" fontId="73" fillId="5" borderId="35" xfId="0" applyNumberFormat="1" applyFont="1" applyFill="1" applyBorder="1" applyAlignment="1">
      <alignment horizontal="center" vertical="center"/>
    </xf>
    <xf numFmtId="4" fontId="73" fillId="5" borderId="36" xfId="0" applyNumberFormat="1" applyFont="1" applyFill="1" applyBorder="1" applyAlignment="1">
      <alignment horizontal="center" vertical="center"/>
    </xf>
    <xf numFmtId="4" fontId="72" fillId="5" borderId="36" xfId="0" applyNumberFormat="1" applyFont="1" applyFill="1" applyBorder="1" applyAlignment="1">
      <alignment horizontal="center" vertical="center"/>
    </xf>
    <xf numFmtId="4" fontId="67" fillId="5" borderId="30" xfId="0" applyNumberFormat="1" applyFont="1" applyFill="1" applyBorder="1" applyAlignment="1">
      <alignment horizontal="center" vertical="center" shrinkToFit="1"/>
    </xf>
    <xf numFmtId="4" fontId="73" fillId="5" borderId="37" xfId="0" applyNumberFormat="1" applyFont="1" applyFill="1" applyBorder="1" applyAlignment="1">
      <alignment horizontal="center" vertical="center"/>
    </xf>
    <xf numFmtId="4" fontId="73" fillId="5" borderId="30" xfId="0" applyNumberFormat="1" applyFont="1" applyFill="1" applyBorder="1" applyAlignment="1">
      <alignment horizontal="center" vertical="center"/>
    </xf>
    <xf numFmtId="10" fontId="49" fillId="5" borderId="30" xfId="0" applyNumberFormat="1" applyFont="1" applyFill="1" applyBorder="1" applyAlignment="1">
      <alignment horizontal="center" vertical="center"/>
    </xf>
    <xf numFmtId="4" fontId="50" fillId="5" borderId="30" xfId="0" applyNumberFormat="1" applyFont="1" applyFill="1" applyBorder="1" applyAlignment="1">
      <alignment horizontal="center" vertical="center"/>
    </xf>
    <xf numFmtId="4" fontId="73" fillId="5" borderId="30" xfId="0" applyNumberFormat="1" applyFont="1" applyFill="1" applyBorder="1" applyAlignment="1">
      <alignment horizontal="center" vertical="center" wrapText="1"/>
    </xf>
    <xf numFmtId="4" fontId="53" fillId="5" borderId="38" xfId="0" applyNumberFormat="1" applyFont="1" applyFill="1" applyBorder="1" applyAlignment="1">
      <alignment horizontal="center" vertical="center" shrinkToFit="1"/>
    </xf>
    <xf numFmtId="4" fontId="53" fillId="5" borderId="30" xfId="0" applyNumberFormat="1" applyFont="1" applyFill="1" applyBorder="1" applyAlignment="1">
      <alignment horizontal="center" vertical="center" shrinkToFit="1"/>
    </xf>
    <xf numFmtId="4" fontId="53" fillId="5" borderId="39" xfId="0" applyNumberFormat="1" applyFont="1" applyFill="1" applyBorder="1" applyAlignment="1">
      <alignment horizontal="center" vertical="center" shrinkToFit="1"/>
    </xf>
    <xf numFmtId="4" fontId="74" fillId="5" borderId="40" xfId="0" applyNumberFormat="1" applyFont="1" applyFill="1" applyBorder="1" applyAlignment="1">
      <alignment horizontal="center" vertical="center" shrinkToFit="1"/>
    </xf>
    <xf numFmtId="4" fontId="74" fillId="5" borderId="38" xfId="0" applyNumberFormat="1" applyFont="1" applyFill="1" applyBorder="1" applyAlignment="1">
      <alignment horizontal="center" vertical="center" shrinkToFit="1"/>
    </xf>
    <xf numFmtId="2" fontId="74" fillId="5" borderId="38" xfId="0" applyNumberFormat="1" applyFont="1" applyFill="1" applyBorder="1" applyAlignment="1">
      <alignment horizontal="center" vertical="center" shrinkToFit="1"/>
    </xf>
    <xf numFmtId="2" fontId="74" fillId="5" borderId="41" xfId="0" applyNumberFormat="1" applyFont="1" applyFill="1" applyBorder="1" applyAlignment="1">
      <alignment horizontal="center" vertical="center" shrinkToFit="1"/>
    </xf>
    <xf numFmtId="2" fontId="74" fillId="5" borderId="42" xfId="0" applyNumberFormat="1" applyFont="1" applyFill="1" applyBorder="1" applyAlignment="1">
      <alignment horizontal="center" vertical="center" shrinkToFit="1"/>
    </xf>
    <xf numFmtId="4" fontId="48" fillId="5" borderId="0" xfId="0" applyNumberFormat="1" applyFont="1" applyFill="1" applyBorder="1" applyAlignment="1">
      <alignment horizontal="center" vertical="center"/>
    </xf>
    <xf numFmtId="4" fontId="67" fillId="5" borderId="29" xfId="0" applyNumberFormat="1" applyFont="1" applyFill="1" applyBorder="1" applyAlignment="1">
      <alignment horizontal="center" vertical="center" wrapText="1"/>
    </xf>
    <xf numFmtId="4" fontId="67" fillId="5" borderId="43" xfId="0" applyNumberFormat="1" applyFont="1" applyFill="1" applyBorder="1" applyAlignment="1">
      <alignment horizontal="center" vertical="center" wrapText="1"/>
    </xf>
    <xf numFmtId="4" fontId="73" fillId="5" borderId="23" xfId="0" applyNumberFormat="1" applyFont="1" applyFill="1" applyBorder="1" applyAlignment="1">
      <alignment horizontal="center" vertical="center" wrapText="1"/>
    </xf>
    <xf numFmtId="4" fontId="75" fillId="5" borderId="24" xfId="0" applyNumberFormat="1" applyFont="1" applyFill="1" applyBorder="1" applyAlignment="1">
      <alignment horizontal="center" vertical="center"/>
    </xf>
    <xf numFmtId="4" fontId="48" fillId="5" borderId="44" xfId="0" applyNumberFormat="1" applyFont="1" applyFill="1" applyBorder="1" applyAlignment="1">
      <alignment horizontal="center" vertical="center"/>
    </xf>
    <xf numFmtId="4" fontId="48" fillId="5" borderId="45" xfId="0" applyNumberFormat="1" applyFont="1" applyFill="1" applyBorder="1" applyAlignment="1">
      <alignment horizontal="center" vertical="center" shrinkToFit="1"/>
    </xf>
    <xf numFmtId="4" fontId="48" fillId="5" borderId="46" xfId="0" applyNumberFormat="1" applyFont="1" applyFill="1" applyBorder="1" applyAlignment="1">
      <alignment horizontal="center" vertical="center" shrinkToFit="1"/>
    </xf>
    <xf numFmtId="4" fontId="48" fillId="5" borderId="47" xfId="0" applyNumberFormat="1" applyFont="1" applyFill="1" applyBorder="1" applyAlignment="1">
      <alignment horizontal="center" vertical="center" shrinkToFit="1"/>
    </xf>
    <xf numFmtId="4" fontId="48" fillId="5" borderId="0" xfId="0" applyNumberFormat="1" applyFont="1" applyFill="1" applyBorder="1" applyAlignment="1">
      <alignment horizontal="center" vertical="center" shrinkToFit="1"/>
    </xf>
    <xf numFmtId="4" fontId="67" fillId="5" borderId="48" xfId="0" applyNumberFormat="1" applyFont="1" applyFill="1" applyBorder="1" applyAlignment="1">
      <alignment horizontal="center" vertical="center" wrapText="1"/>
    </xf>
    <xf numFmtId="4" fontId="46" fillId="5" borderId="49" xfId="0" applyNumberFormat="1" applyFont="1" applyFill="1" applyBorder="1" applyAlignment="1">
      <alignment horizontal="center" vertical="center" shrinkToFit="1"/>
    </xf>
    <xf numFmtId="4" fontId="77" fillId="5" borderId="30" xfId="0" applyNumberFormat="1" applyFont="1" applyFill="1" applyBorder="1" applyAlignment="1">
      <alignment horizontal="center" vertical="center" shrinkToFit="1"/>
    </xf>
    <xf numFmtId="10" fontId="74" fillId="5" borderId="30" xfId="0" applyNumberFormat="1" applyFont="1" applyFill="1" applyBorder="1" applyAlignment="1">
      <alignment horizontal="center" vertical="center" shrinkToFit="1"/>
    </xf>
    <xf numFmtId="10" fontId="74" fillId="5" borderId="34" xfId="0" applyNumberFormat="1" applyFont="1" applyFill="1" applyBorder="1" applyAlignment="1">
      <alignment horizontal="center" vertical="center" shrinkToFit="1"/>
    </xf>
    <xf numFmtId="4" fontId="67" fillId="5" borderId="50" xfId="0" applyNumberFormat="1" applyFont="1" applyFill="1" applyBorder="1" applyAlignment="1">
      <alignment horizontal="center" vertical="center"/>
    </xf>
    <xf numFmtId="4" fontId="48" fillId="5" borderId="51" xfId="0" applyNumberFormat="1" applyFont="1" applyFill="1" applyBorder="1" applyAlignment="1">
      <alignment horizontal="center" vertical="center"/>
    </xf>
    <xf numFmtId="4" fontId="67" fillId="5" borderId="52" xfId="0" applyNumberFormat="1" applyFont="1" applyFill="1" applyBorder="1" applyAlignment="1">
      <alignment horizontal="center" vertical="center"/>
    </xf>
    <xf numFmtId="4" fontId="49" fillId="5" borderId="53" xfId="0" applyNumberFormat="1" applyFont="1" applyFill="1" applyBorder="1" applyAlignment="1">
      <alignment horizontal="center" vertical="center"/>
    </xf>
    <xf numFmtId="14" fontId="48" fillId="5" borderId="54" xfId="0" applyNumberFormat="1" applyFont="1" applyFill="1" applyBorder="1" applyAlignment="1">
      <alignment horizontal="center" vertical="center"/>
    </xf>
    <xf numFmtId="14" fontId="48" fillId="5" borderId="55" xfId="0" applyNumberFormat="1" applyFont="1" applyFill="1" applyBorder="1" applyAlignment="1">
      <alignment horizontal="center" vertical="center"/>
    </xf>
    <xf numFmtId="4" fontId="73" fillId="5" borderId="43" xfId="0" applyNumberFormat="1" applyFont="1" applyFill="1" applyBorder="1" applyAlignment="1">
      <alignment horizontal="center" vertical="center"/>
    </xf>
    <xf numFmtId="4" fontId="67" fillId="5" borderId="56" xfId="0" applyNumberFormat="1" applyFont="1" applyFill="1" applyBorder="1" applyAlignment="1">
      <alignment horizontal="center" vertical="center"/>
    </xf>
    <xf numFmtId="4" fontId="49" fillId="5" borderId="57" xfId="0" applyNumberFormat="1" applyFont="1" applyFill="1" applyBorder="1" applyAlignment="1">
      <alignment horizontal="center" vertical="center"/>
    </xf>
    <xf numFmtId="1" fontId="75" fillId="5" borderId="37" xfId="0" applyNumberFormat="1" applyFont="1" applyFill="1" applyBorder="1" applyAlignment="1">
      <alignment horizontal="center" vertical="center" shrinkToFit="1"/>
    </xf>
    <xf numFmtId="1" fontId="75" fillId="5" borderId="56" xfId="0" applyNumberFormat="1" applyFont="1" applyFill="1" applyBorder="1" applyAlignment="1">
      <alignment horizontal="center" vertical="center" shrinkToFit="1"/>
    </xf>
    <xf numFmtId="4" fontId="75" fillId="5" borderId="58" xfId="0" applyNumberFormat="1" applyFont="1" applyFill="1" applyBorder="1" applyAlignment="1">
      <alignment horizontal="center" vertical="center" shrinkToFit="1"/>
    </xf>
    <xf numFmtId="4" fontId="75" fillId="5" borderId="30" xfId="0" applyNumberFormat="1" applyFont="1" applyFill="1" applyBorder="1" applyAlignment="1">
      <alignment horizontal="center" vertical="center" shrinkToFit="1"/>
    </xf>
    <xf numFmtId="2" fontId="75" fillId="5" borderId="30" xfId="0" applyNumberFormat="1" applyFont="1" applyFill="1" applyBorder="1" applyAlignment="1">
      <alignment horizontal="center" vertical="center" shrinkToFit="1"/>
    </xf>
    <xf numFmtId="10" fontId="75" fillId="5" borderId="57" xfId="0" applyNumberFormat="1" applyFont="1" applyFill="1" applyBorder="1" applyAlignment="1">
      <alignment horizontal="center" vertical="center" shrinkToFit="1"/>
    </xf>
    <xf numFmtId="2" fontId="75" fillId="5" borderId="0" xfId="0" applyNumberFormat="1" applyFont="1" applyFill="1" applyBorder="1" applyAlignment="1">
      <alignment horizontal="center" vertical="center" shrinkToFit="1"/>
    </xf>
    <xf numFmtId="2" fontId="75" fillId="5" borderId="34" xfId="0" applyNumberFormat="1" applyFont="1" applyFill="1" applyBorder="1" applyAlignment="1">
      <alignment horizontal="center" vertical="center" shrinkToFit="1"/>
    </xf>
    <xf numFmtId="10" fontId="74" fillId="5" borderId="30" xfId="0" applyNumberFormat="1" applyFont="1" applyFill="1" applyBorder="1" applyAlignment="1">
      <alignment horizontal="center" vertical="center"/>
    </xf>
    <xf numFmtId="10" fontId="68" fillId="5" borderId="43" xfId="0" applyNumberFormat="1" applyFont="1" applyFill="1" applyBorder="1" applyAlignment="1">
      <alignment horizontal="center" vertical="center"/>
    </xf>
    <xf numFmtId="4" fontId="48" fillId="5" borderId="59" xfId="0" applyNumberFormat="1" applyFont="1" applyFill="1" applyBorder="1" applyAlignment="1">
      <alignment horizontal="center" vertical="center" shrinkToFit="1"/>
    </xf>
    <xf numFmtId="4" fontId="48" fillId="5" borderId="60" xfId="0" applyNumberFormat="1" applyFont="1" applyFill="1" applyBorder="1" applyAlignment="1">
      <alignment horizontal="center" vertical="center" shrinkToFit="1"/>
    </xf>
    <xf numFmtId="4" fontId="48" fillId="5" borderId="61" xfId="0" applyNumberFormat="1" applyFont="1" applyFill="1" applyBorder="1" applyAlignment="1">
      <alignment horizontal="center" vertical="center" shrinkToFit="1"/>
    </xf>
    <xf numFmtId="4" fontId="48" fillId="5" borderId="62" xfId="0" applyNumberFormat="1" applyFont="1" applyFill="1" applyBorder="1" applyAlignment="1">
      <alignment horizontal="center" vertical="center" shrinkToFit="1"/>
    </xf>
    <xf numFmtId="4" fontId="48" fillId="5" borderId="63" xfId="0" applyNumberFormat="1" applyFont="1" applyFill="1" applyBorder="1" applyAlignment="1">
      <alignment horizontal="center" vertical="center" shrinkToFit="1"/>
    </xf>
    <xf numFmtId="4" fontId="48" fillId="5" borderId="64" xfId="0" applyNumberFormat="1" applyFont="1" applyFill="1" applyBorder="1" applyAlignment="1">
      <alignment horizontal="center" vertical="center" shrinkToFit="1"/>
    </xf>
    <xf numFmtId="4" fontId="48" fillId="5" borderId="65" xfId="0" applyNumberFormat="1" applyFont="1" applyFill="1" applyBorder="1" applyAlignment="1">
      <alignment horizontal="center" vertical="center" shrinkToFit="1"/>
    </xf>
    <xf numFmtId="4" fontId="34" fillId="5" borderId="66" xfId="0" applyNumberFormat="1" applyFont="1" applyFill="1" applyBorder="1" applyAlignment="1">
      <alignment horizontal="center" vertical="center"/>
    </xf>
    <xf numFmtId="4" fontId="81" fillId="5" borderId="67" xfId="0" applyNumberFormat="1" applyFont="1" applyFill="1" applyBorder="1" applyAlignment="1">
      <alignment horizontal="center" vertical="center"/>
    </xf>
    <xf numFmtId="4" fontId="81" fillId="5" borderId="14" xfId="0" applyNumberFormat="1" applyFont="1" applyFill="1" applyBorder="1" applyAlignment="1">
      <alignment horizontal="center" vertical="center"/>
    </xf>
    <xf numFmtId="4" fontId="48" fillId="5" borderId="0" xfId="0" applyNumberFormat="1" applyFont="1" applyFill="1" applyBorder="1" applyAlignment="1">
      <alignment horizontal="center" vertical="center" wrapText="1"/>
    </xf>
    <xf numFmtId="4" fontId="73" fillId="5" borderId="29" xfId="0" applyNumberFormat="1" applyFont="1" applyFill="1" applyBorder="1" applyAlignment="1">
      <alignment horizontal="center" vertical="center" wrapText="1"/>
    </xf>
    <xf numFmtId="4" fontId="83" fillId="5" borderId="43" xfId="0" applyNumberFormat="1" applyFont="1" applyFill="1" applyBorder="1" applyAlignment="1">
      <alignment horizontal="center" vertical="center" wrapText="1"/>
    </xf>
    <xf numFmtId="4" fontId="67" fillId="5" borderId="68" xfId="0" applyNumberFormat="1" applyFont="1" applyFill="1" applyBorder="1" applyAlignment="1">
      <alignment horizontal="center" vertical="center" wrapText="1"/>
    </xf>
    <xf numFmtId="4" fontId="46" fillId="5" borderId="69" xfId="0" applyNumberFormat="1" applyFont="1" applyFill="1" applyBorder="1" applyAlignment="1">
      <alignment horizontal="center" vertical="center" shrinkToFit="1"/>
    </xf>
    <xf numFmtId="4" fontId="46" fillId="5" borderId="70" xfId="0" applyNumberFormat="1" applyFont="1" applyFill="1" applyBorder="1" applyAlignment="1">
      <alignment horizontal="center" vertical="center" shrinkToFit="1"/>
    </xf>
    <xf numFmtId="4" fontId="48" fillId="5" borderId="29" xfId="0" applyNumberFormat="1" applyFont="1" applyFill="1" applyBorder="1" applyAlignment="1">
      <alignment horizontal="center" vertical="center" wrapText="1"/>
    </xf>
    <xf numFmtId="4" fontId="53" fillId="5" borderId="71" xfId="0" applyNumberFormat="1" applyFont="1" applyFill="1" applyBorder="1" applyAlignment="1">
      <alignment horizontal="center" vertical="center" wrapText="1"/>
    </xf>
    <xf numFmtId="4" fontId="74" fillId="5" borderId="34" xfId="0" applyNumberFormat="1" applyFont="1" applyFill="1" applyBorder="1" applyAlignment="1">
      <alignment horizontal="center" vertical="center" shrinkToFit="1"/>
    </xf>
    <xf numFmtId="4" fontId="74" fillId="5" borderId="72" xfId="0" applyNumberFormat="1" applyFont="1" applyFill="1" applyBorder="1" applyAlignment="1">
      <alignment horizontal="center" vertical="center" wrapText="1"/>
    </xf>
    <xf numFmtId="4" fontId="74" fillId="5" borderId="29" xfId="0" applyNumberFormat="1" applyFont="1" applyFill="1" applyBorder="1" applyAlignment="1">
      <alignment horizontal="center" vertical="center" wrapText="1"/>
    </xf>
    <xf numFmtId="4" fontId="74" fillId="5" borderId="53" xfId="0" applyNumberFormat="1" applyFont="1" applyFill="1" applyBorder="1" applyAlignment="1">
      <alignment horizontal="center" vertical="center" wrapText="1"/>
    </xf>
    <xf numFmtId="4" fontId="85" fillId="5" borderId="73" xfId="0" applyNumberFormat="1" applyFont="1" applyFill="1" applyBorder="1" applyAlignment="1">
      <alignment horizontal="left" vertical="center" wrapText="1"/>
    </xf>
    <xf numFmtId="0" fontId="48" fillId="5" borderId="45" xfId="0" applyNumberFormat="1" applyFont="1" applyFill="1" applyBorder="1" applyAlignment="1">
      <alignment horizontal="center" vertical="center" shrinkToFit="1"/>
    </xf>
    <xf numFmtId="4" fontId="48" fillId="5" borderId="71" xfId="0" applyNumberFormat="1" applyFont="1" applyFill="1" applyBorder="1" applyAlignment="1">
      <alignment horizontal="center" vertical="center" shrinkToFit="1"/>
    </xf>
    <xf numFmtId="4" fontId="48" fillId="5" borderId="74" xfId="0" applyNumberFormat="1" applyFont="1" applyFill="1" applyBorder="1" applyAlignment="1">
      <alignment horizontal="center" vertical="center" shrinkToFit="1"/>
    </xf>
    <xf numFmtId="4" fontId="67" fillId="5" borderId="75" xfId="0" applyNumberFormat="1" applyFont="1" applyFill="1" applyBorder="1" applyAlignment="1">
      <alignment horizontal="center" vertical="center"/>
    </xf>
    <xf numFmtId="4" fontId="67" fillId="5" borderId="29" xfId="0" applyNumberFormat="1" applyFont="1" applyFill="1" applyBorder="1" applyAlignment="1">
      <alignment horizontal="center" vertical="center"/>
    </xf>
    <xf numFmtId="4" fontId="67" fillId="5" borderId="43" xfId="0" applyNumberFormat="1" applyFont="1" applyFill="1" applyBorder="1" applyAlignment="1">
      <alignment horizontal="center" vertical="center"/>
    </xf>
    <xf numFmtId="4" fontId="53" fillId="5" borderId="71" xfId="0" applyNumberFormat="1" applyFont="1" applyFill="1" applyBorder="1" applyAlignment="1">
      <alignment horizontal="center" vertical="center" shrinkToFit="1"/>
    </xf>
    <xf numFmtId="4" fontId="74" fillId="5" borderId="71" xfId="0" applyNumberFormat="1" applyFont="1" applyFill="1" applyBorder="1" applyAlignment="1">
      <alignment horizontal="center" vertical="center"/>
    </xf>
    <xf numFmtId="4" fontId="48" fillId="5" borderId="38" xfId="0" applyNumberFormat="1" applyFont="1" applyFill="1" applyBorder="1" applyAlignment="1">
      <alignment horizontal="center" vertical="center"/>
    </xf>
    <xf numFmtId="4" fontId="74" fillId="5" borderId="48" xfId="0" applyNumberFormat="1" applyFont="1" applyFill="1" applyBorder="1" applyAlignment="1">
      <alignment horizontal="center" vertical="center" shrinkToFit="1"/>
    </xf>
    <xf numFmtId="2" fontId="74" fillId="5" borderId="37" xfId="0" applyNumberFormat="1" applyFont="1" applyFill="1" applyBorder="1" applyAlignment="1">
      <alignment horizontal="center" vertical="center" shrinkToFit="1"/>
    </xf>
    <xf numFmtId="2" fontId="74" fillId="5" borderId="30" xfId="0" applyNumberFormat="1" applyFont="1" applyFill="1" applyBorder="1" applyAlignment="1">
      <alignment horizontal="center" vertical="center" shrinkToFit="1"/>
    </xf>
    <xf numFmtId="2" fontId="74" fillId="5" borderId="57" xfId="0" applyNumberFormat="1" applyFont="1" applyFill="1" applyBorder="1" applyAlignment="1">
      <alignment horizontal="center" vertical="center" shrinkToFit="1"/>
    </xf>
    <xf numFmtId="2" fontId="67" fillId="5" borderId="76" xfId="0" applyNumberFormat="1" applyFont="1" applyFill="1" applyBorder="1" applyAlignment="1">
      <alignment horizontal="center" vertical="center" shrinkToFit="1"/>
    </xf>
    <xf numFmtId="2" fontId="67" fillId="5" borderId="30" xfId="0" applyNumberFormat="1" applyFont="1" applyFill="1" applyBorder="1" applyAlignment="1">
      <alignment horizontal="center" vertical="center" shrinkToFit="1"/>
    </xf>
    <xf numFmtId="2" fontId="67" fillId="5" borderId="34" xfId="0" applyNumberFormat="1" applyFont="1" applyFill="1" applyBorder="1" applyAlignment="1">
      <alignment horizontal="center" vertical="center" shrinkToFit="1"/>
    </xf>
    <xf numFmtId="4" fontId="53" fillId="5" borderId="0" xfId="0" applyNumberFormat="1" applyFont="1" applyFill="1" applyBorder="1" applyAlignment="1" quotePrefix="1">
      <alignment horizontal="center" vertical="center"/>
    </xf>
    <xf numFmtId="172" fontId="48" fillId="5" borderId="71" xfId="0" applyNumberFormat="1" applyFont="1" applyFill="1" applyBorder="1" applyAlignment="1">
      <alignment horizontal="center" vertical="center" shrinkToFit="1"/>
    </xf>
    <xf numFmtId="4" fontId="57" fillId="5" borderId="71" xfId="0" applyNumberFormat="1" applyFont="1" applyFill="1" applyBorder="1" applyAlignment="1">
      <alignment horizontal="center" vertical="center" wrapText="1"/>
    </xf>
    <xf numFmtId="4" fontId="53" fillId="5" borderId="77" xfId="0" applyNumberFormat="1" applyFont="1" applyFill="1" applyBorder="1" applyAlignment="1">
      <alignment horizontal="center" vertical="center" shrinkToFit="1"/>
    </xf>
    <xf numFmtId="4" fontId="48" fillId="5" borderId="78" xfId="0" applyNumberFormat="1" applyFont="1" applyFill="1" applyBorder="1" applyAlignment="1">
      <alignment horizontal="center" vertical="center" shrinkToFit="1"/>
    </xf>
    <xf numFmtId="4" fontId="48" fillId="5" borderId="79" xfId="0" applyNumberFormat="1" applyFont="1" applyFill="1" applyBorder="1" applyAlignment="1">
      <alignment horizontal="center" vertical="center" shrinkToFit="1"/>
    </xf>
    <xf numFmtId="4" fontId="48" fillId="5" borderId="80" xfId="0" applyNumberFormat="1" applyFont="1" applyFill="1" applyBorder="1" applyAlignment="1">
      <alignment horizontal="center" vertical="center" shrinkToFit="1"/>
    </xf>
    <xf numFmtId="0" fontId="53" fillId="5" borderId="0" xfId="0" applyNumberFormat="1" applyFont="1" applyFill="1" applyBorder="1" applyAlignment="1">
      <alignment horizontal="center" vertical="center"/>
    </xf>
    <xf numFmtId="4" fontId="53" fillId="5" borderId="77" xfId="0" applyNumberFormat="1" applyFont="1" applyFill="1" applyBorder="1" applyAlignment="1">
      <alignment horizontal="center" vertical="center" shrinkToFit="1"/>
    </xf>
    <xf numFmtId="4" fontId="85" fillId="5" borderId="81" xfId="0" applyNumberFormat="1" applyFont="1" applyFill="1" applyBorder="1" applyAlignment="1">
      <alignment horizontal="center" vertical="center"/>
    </xf>
    <xf numFmtId="4" fontId="85" fillId="5" borderId="82" xfId="0" applyNumberFormat="1" applyFont="1" applyFill="1" applyBorder="1" applyAlignment="1">
      <alignment horizontal="center" vertical="center"/>
    </xf>
    <xf numFmtId="4" fontId="85" fillId="5" borderId="32" xfId="0" applyNumberFormat="1" applyFont="1" applyFill="1" applyBorder="1" applyAlignment="1">
      <alignment horizontal="center" vertical="center"/>
    </xf>
    <xf numFmtId="4" fontId="74" fillId="5" borderId="71" xfId="0" applyNumberFormat="1" applyFont="1" applyFill="1" applyBorder="1" applyAlignment="1">
      <alignment horizontal="center" vertical="center" wrapText="1"/>
    </xf>
    <xf numFmtId="4" fontId="74" fillId="5" borderId="43" xfId="0" applyNumberFormat="1" applyFont="1" applyFill="1" applyBorder="1" applyAlignment="1">
      <alignment horizontal="center" vertical="center" wrapText="1"/>
    </xf>
    <xf numFmtId="4" fontId="66" fillId="5" borderId="83" xfId="0" applyNumberFormat="1" applyFont="1" applyFill="1" applyBorder="1" applyAlignment="1">
      <alignment horizontal="center" vertical="center" wrapText="1"/>
    </xf>
    <xf numFmtId="4" fontId="48" fillId="5" borderId="84" xfId="0" applyNumberFormat="1" applyFont="1" applyFill="1" applyBorder="1" applyAlignment="1">
      <alignment horizontal="center" vertical="center" shrinkToFit="1"/>
    </xf>
    <xf numFmtId="4" fontId="48" fillId="5" borderId="41" xfId="0" applyNumberFormat="1" applyFont="1" applyFill="1" applyBorder="1" applyAlignment="1">
      <alignment horizontal="center" vertical="center" shrinkToFit="1"/>
    </xf>
    <xf numFmtId="4" fontId="48" fillId="5" borderId="42" xfId="0" applyNumberFormat="1" applyFont="1" applyFill="1" applyBorder="1" applyAlignment="1">
      <alignment horizontal="center" vertical="center" shrinkToFit="1"/>
    </xf>
    <xf numFmtId="0" fontId="48" fillId="5" borderId="38" xfId="0" applyNumberFormat="1" applyFont="1" applyFill="1" applyBorder="1" applyAlignment="1">
      <alignment horizontal="center" vertical="center" shrinkToFit="1"/>
    </xf>
    <xf numFmtId="4" fontId="48" fillId="5" borderId="71" xfId="0" applyNumberFormat="1" applyFont="1" applyFill="1" applyBorder="1" applyAlignment="1">
      <alignment horizontal="center" vertical="center" wrapText="1"/>
    </xf>
    <xf numFmtId="4" fontId="74" fillId="5" borderId="30" xfId="0" applyNumberFormat="1" applyFont="1" applyFill="1" applyBorder="1" applyAlignment="1">
      <alignment horizontal="center" vertical="center" wrapText="1"/>
    </xf>
    <xf numFmtId="4" fontId="66" fillId="5" borderId="43" xfId="0" applyNumberFormat="1" applyFont="1" applyFill="1" applyBorder="1" applyAlignment="1">
      <alignment horizontal="center" vertical="center" wrapText="1"/>
    </xf>
    <xf numFmtId="4" fontId="88" fillId="5" borderId="83" xfId="0" applyNumberFormat="1" applyFont="1" applyFill="1" applyBorder="1" applyAlignment="1">
      <alignment horizontal="center" vertical="center"/>
    </xf>
    <xf numFmtId="10" fontId="67" fillId="5" borderId="30" xfId="0" applyNumberFormat="1" applyFont="1" applyFill="1" applyBorder="1" applyAlignment="1">
      <alignment horizontal="center" vertical="center" shrinkToFit="1"/>
    </xf>
    <xf numFmtId="4" fontId="89" fillId="5" borderId="33" xfId="0" applyNumberFormat="1" applyFont="1" applyFill="1" applyBorder="1" applyAlignment="1">
      <alignment horizontal="center" vertical="center" shrinkToFit="1"/>
    </xf>
    <xf numFmtId="4" fontId="89" fillId="5" borderId="10" xfId="0" applyNumberFormat="1" applyFont="1" applyFill="1" applyBorder="1" applyAlignment="1">
      <alignment horizontal="center" vertical="center"/>
    </xf>
    <xf numFmtId="4" fontId="48" fillId="5" borderId="38" xfId="0" applyNumberFormat="1" applyFont="1" applyFill="1" applyBorder="1" applyAlignment="1">
      <alignment horizontal="center" vertical="center" shrinkToFit="1"/>
    </xf>
    <xf numFmtId="0" fontId="48" fillId="5" borderId="71" xfId="0" applyNumberFormat="1" applyFont="1" applyFill="1" applyBorder="1" applyAlignment="1">
      <alignment horizontal="center" vertical="center"/>
    </xf>
    <xf numFmtId="2" fontId="67" fillId="5" borderId="85" xfId="0" applyNumberFormat="1" applyFont="1" applyFill="1" applyBorder="1" applyAlignment="1">
      <alignment horizontal="center" vertical="center" shrinkToFit="1"/>
    </xf>
    <xf numFmtId="2" fontId="67" fillId="5" borderId="86" xfId="0" applyNumberFormat="1" applyFont="1" applyFill="1" applyBorder="1" applyAlignment="1">
      <alignment horizontal="center" vertical="center" shrinkToFit="1"/>
    </xf>
    <xf numFmtId="4" fontId="67" fillId="5" borderId="34" xfId="0" applyNumberFormat="1" applyFont="1" applyFill="1" applyBorder="1" applyAlignment="1">
      <alignment horizontal="center" vertical="center" shrinkToFit="1"/>
    </xf>
    <xf numFmtId="2" fontId="67" fillId="5" borderId="38" xfId="0" applyNumberFormat="1" applyFont="1" applyFill="1" applyBorder="1" applyAlignment="1">
      <alignment horizontal="center" vertical="center" shrinkToFit="1"/>
    </xf>
    <xf numFmtId="2" fontId="67" fillId="5" borderId="87" xfId="0" applyNumberFormat="1" applyFont="1" applyFill="1" applyBorder="1" applyAlignment="1">
      <alignment horizontal="center" vertical="center" shrinkToFit="1"/>
    </xf>
    <xf numFmtId="2" fontId="67" fillId="5" borderId="84" xfId="0" applyNumberFormat="1" applyFont="1" applyFill="1" applyBorder="1" applyAlignment="1">
      <alignment horizontal="center" vertical="center" shrinkToFit="1"/>
    </xf>
    <xf numFmtId="2" fontId="67" fillId="5" borderId="48" xfId="0" applyNumberFormat="1" applyFont="1" applyFill="1" applyBorder="1" applyAlignment="1">
      <alignment horizontal="center" vertical="center" shrinkToFit="1"/>
    </xf>
    <xf numFmtId="4" fontId="51" fillId="5" borderId="20" xfId="0" applyNumberFormat="1" applyFont="1" applyFill="1" applyBorder="1" applyAlignment="1">
      <alignment horizontal="center" vertical="center"/>
    </xf>
    <xf numFmtId="4" fontId="53" fillId="5" borderId="71" xfId="0" applyNumberFormat="1" applyFont="1" applyFill="1" applyBorder="1" applyAlignment="1">
      <alignment horizontal="center" vertical="center"/>
    </xf>
    <xf numFmtId="0" fontId="48" fillId="5" borderId="38" xfId="0" applyNumberFormat="1" applyFont="1" applyFill="1" applyBorder="1" applyAlignment="1">
      <alignment horizontal="center" vertical="center" shrinkToFit="1"/>
    </xf>
    <xf numFmtId="4" fontId="73" fillId="5" borderId="34" xfId="0" applyNumberFormat="1" applyFont="1" applyFill="1" applyBorder="1" applyAlignment="1">
      <alignment horizontal="center" vertical="center" wrapText="1"/>
    </xf>
    <xf numFmtId="4" fontId="81" fillId="5" borderId="88" xfId="0" applyNumberFormat="1" applyFont="1" applyFill="1" applyBorder="1" applyAlignment="1">
      <alignment horizontal="center" vertical="center"/>
    </xf>
    <xf numFmtId="4" fontId="46" fillId="5" borderId="78" xfId="0" applyNumberFormat="1" applyFont="1" applyFill="1" applyBorder="1" applyAlignment="1">
      <alignment horizontal="center" vertical="center" shrinkToFit="1"/>
    </xf>
    <xf numFmtId="4" fontId="51" fillId="5" borderId="89" xfId="0" applyNumberFormat="1" applyFont="1" applyFill="1" applyBorder="1" applyAlignment="1">
      <alignment horizontal="center" vertical="center"/>
    </xf>
    <xf numFmtId="4" fontId="48" fillId="5" borderId="90" xfId="0" applyNumberFormat="1" applyFont="1" applyFill="1" applyBorder="1" applyAlignment="1">
      <alignment horizontal="center" vertical="center" wrapText="1"/>
    </xf>
    <xf numFmtId="4" fontId="49" fillId="5" borderId="91" xfId="0" applyNumberFormat="1" applyFont="1" applyFill="1" applyBorder="1" applyAlignment="1">
      <alignment horizontal="center" vertical="center"/>
    </xf>
    <xf numFmtId="4" fontId="46" fillId="5" borderId="42" xfId="0" applyNumberFormat="1" applyFont="1" applyFill="1" applyBorder="1" applyAlignment="1">
      <alignment horizontal="center" vertical="center" shrinkToFit="1"/>
    </xf>
    <xf numFmtId="4" fontId="53" fillId="5" borderId="33" xfId="0" applyNumberFormat="1" applyFont="1" applyFill="1" applyBorder="1" applyAlignment="1">
      <alignment horizontal="center" vertical="center"/>
    </xf>
    <xf numFmtId="4" fontId="53" fillId="5" borderId="10" xfId="0" applyNumberFormat="1" applyFont="1" applyFill="1" applyBorder="1" applyAlignment="1">
      <alignment horizontal="center" vertical="center"/>
    </xf>
    <xf numFmtId="4" fontId="68" fillId="5" borderId="71" xfId="0" applyNumberFormat="1" applyFont="1" applyFill="1" applyBorder="1" applyAlignment="1">
      <alignment horizontal="center" vertical="center" wrapText="1"/>
    </xf>
    <xf numFmtId="4" fontId="74" fillId="5" borderId="92" xfId="0" applyNumberFormat="1" applyFont="1" applyFill="1" applyBorder="1" applyAlignment="1">
      <alignment horizontal="center" vertical="center" wrapText="1"/>
    </xf>
    <xf numFmtId="4" fontId="80" fillId="5" borderId="37" xfId="0" applyNumberFormat="1" applyFont="1" applyFill="1" applyBorder="1" applyAlignment="1">
      <alignment horizontal="center" vertical="center" wrapText="1"/>
    </xf>
    <xf numFmtId="4" fontId="80" fillId="5" borderId="30" xfId="0" applyNumberFormat="1" applyFont="1" applyFill="1" applyBorder="1" applyAlignment="1">
      <alignment horizontal="center" vertical="center" wrapText="1"/>
    </xf>
    <xf numFmtId="4" fontId="48" fillId="5" borderId="30" xfId="0" applyNumberFormat="1" applyFont="1" applyFill="1" applyBorder="1" applyAlignment="1">
      <alignment horizontal="center" vertical="center" wrapText="1"/>
    </xf>
    <xf numFmtId="4" fontId="74" fillId="5" borderId="34" xfId="0" applyNumberFormat="1" applyFont="1" applyFill="1" applyBorder="1" applyAlignment="1">
      <alignment horizontal="center" vertical="center" wrapText="1"/>
    </xf>
    <xf numFmtId="4" fontId="74" fillId="5" borderId="48" xfId="0" applyNumberFormat="1" applyFont="1" applyFill="1" applyBorder="1" applyAlignment="1">
      <alignment horizontal="center" vertical="center" wrapText="1"/>
    </xf>
    <xf numFmtId="4" fontId="48" fillId="5" borderId="93" xfId="0" applyNumberFormat="1" applyFont="1" applyFill="1" applyBorder="1" applyAlignment="1">
      <alignment horizontal="center" vertical="center" wrapText="1"/>
    </xf>
    <xf numFmtId="0" fontId="48" fillId="5" borderId="94" xfId="0" applyFont="1" applyFill="1" applyBorder="1" applyAlignment="1">
      <alignment horizontal="center" vertical="center"/>
    </xf>
    <xf numFmtId="4" fontId="48" fillId="5" borderId="91" xfId="0" applyNumberFormat="1" applyFont="1" applyFill="1" applyBorder="1" applyAlignment="1">
      <alignment horizontal="center" vertical="center" wrapText="1"/>
    </xf>
    <xf numFmtId="4" fontId="43" fillId="5" borderId="95" xfId="0" applyNumberFormat="1" applyFont="1" applyFill="1" applyBorder="1" applyAlignment="1">
      <alignment horizontal="center" vertical="center" wrapText="1"/>
    </xf>
    <xf numFmtId="4" fontId="53" fillId="5" borderId="96" xfId="0" applyNumberFormat="1" applyFont="1" applyFill="1" applyBorder="1" applyAlignment="1">
      <alignment horizontal="center" vertical="center"/>
    </xf>
    <xf numFmtId="4" fontId="33" fillId="5" borderId="33" xfId="0" applyNumberFormat="1" applyFont="1" applyFill="1" applyBorder="1" applyAlignment="1">
      <alignment horizontal="center" vertical="center"/>
    </xf>
    <xf numFmtId="4" fontId="33" fillId="5" borderId="10" xfId="0" applyNumberFormat="1" applyFont="1" applyFill="1" applyBorder="1" applyAlignment="1">
      <alignment horizontal="center" vertical="center"/>
    </xf>
    <xf numFmtId="4" fontId="74" fillId="5" borderId="29" xfId="0" applyNumberFormat="1" applyFont="1" applyFill="1" applyBorder="1" applyAlignment="1">
      <alignment horizontal="center" vertical="center"/>
    </xf>
    <xf numFmtId="4" fontId="91" fillId="5" borderId="68" xfId="0" applyNumberFormat="1" applyFont="1" applyFill="1" applyBorder="1" applyAlignment="1">
      <alignment horizontal="center" vertical="center" wrapText="1"/>
    </xf>
    <xf numFmtId="4" fontId="46" fillId="5" borderId="97" xfId="0" applyNumberFormat="1" applyFont="1" applyFill="1" applyBorder="1" applyAlignment="1">
      <alignment horizontal="center" vertical="center" shrinkToFit="1"/>
    </xf>
    <xf numFmtId="4" fontId="46" fillId="5" borderId="98" xfId="0" applyNumberFormat="1" applyFont="1" applyFill="1" applyBorder="1" applyAlignment="1">
      <alignment horizontal="center" vertical="center" shrinkToFit="1"/>
    </xf>
    <xf numFmtId="4" fontId="46" fillId="5" borderId="99" xfId="0" applyNumberFormat="1" applyFont="1" applyFill="1" applyBorder="1" applyAlignment="1">
      <alignment horizontal="center" vertical="center" shrinkToFit="1"/>
    </xf>
    <xf numFmtId="4" fontId="74" fillId="5" borderId="97" xfId="0" applyNumberFormat="1" applyFont="1" applyFill="1" applyBorder="1" applyAlignment="1">
      <alignment horizontal="center" vertical="center" shrinkToFit="1"/>
    </xf>
    <xf numFmtId="4" fontId="74" fillId="5" borderId="100" xfId="0" applyNumberFormat="1" applyFont="1" applyFill="1" applyBorder="1" applyAlignment="1">
      <alignment horizontal="center" vertical="center" shrinkToFit="1"/>
    </xf>
    <xf numFmtId="4" fontId="46" fillId="5" borderId="86" xfId="0" applyNumberFormat="1" applyFont="1" applyFill="1" applyBorder="1" applyAlignment="1">
      <alignment horizontal="center" vertical="center" shrinkToFit="1"/>
    </xf>
    <xf numFmtId="4" fontId="74" fillId="5" borderId="14" xfId="0" applyNumberFormat="1" applyFont="1" applyFill="1" applyBorder="1" applyAlignment="1">
      <alignment horizontal="center" vertical="center"/>
    </xf>
    <xf numFmtId="4" fontId="48" fillId="5" borderId="101" xfId="0" applyNumberFormat="1" applyFont="1" applyFill="1" applyBorder="1" applyAlignment="1">
      <alignment horizontal="center" vertical="center" shrinkToFit="1"/>
    </xf>
    <xf numFmtId="4" fontId="58" fillId="5" borderId="33" xfId="0" applyNumberFormat="1" applyFont="1" applyFill="1" applyBorder="1" applyAlignment="1">
      <alignment horizontal="center" vertical="center"/>
    </xf>
    <xf numFmtId="10" fontId="48" fillId="5" borderId="30" xfId="0" applyNumberFormat="1" applyFont="1" applyFill="1" applyBorder="1" applyAlignment="1">
      <alignment horizontal="center" vertical="center" shrinkToFit="1"/>
    </xf>
    <xf numFmtId="0" fontId="74" fillId="5" borderId="48" xfId="0" applyNumberFormat="1" applyFont="1" applyFill="1" applyBorder="1" applyAlignment="1">
      <alignment horizontal="center" vertical="center" wrapText="1"/>
    </xf>
    <xf numFmtId="4" fontId="87" fillId="5" borderId="102" xfId="0" applyNumberFormat="1" applyFont="1" applyFill="1" applyBorder="1" applyAlignment="1">
      <alignment horizontal="center" vertical="center"/>
    </xf>
    <xf numFmtId="4" fontId="87" fillId="5" borderId="103" xfId="0" applyNumberFormat="1" applyFont="1" applyFill="1" applyBorder="1" applyAlignment="1">
      <alignment horizontal="center" vertical="center"/>
    </xf>
    <xf numFmtId="4" fontId="53" fillId="5" borderId="93" xfId="0" applyNumberFormat="1" applyFont="1" applyFill="1" applyBorder="1" applyAlignment="1">
      <alignment horizontal="center" vertical="center" wrapText="1"/>
    </xf>
    <xf numFmtId="4" fontId="51" fillId="5" borderId="104" xfId="0" applyNumberFormat="1" applyFont="1" applyFill="1" applyBorder="1" applyAlignment="1">
      <alignment horizontal="center" vertical="center"/>
    </xf>
    <xf numFmtId="4" fontId="70" fillId="5" borderId="37" xfId="0" applyNumberFormat="1" applyFont="1" applyFill="1" applyBorder="1" applyAlignment="1">
      <alignment horizontal="center" vertical="center"/>
    </xf>
    <xf numFmtId="4" fontId="70" fillId="5" borderId="30" xfId="0" applyNumberFormat="1" applyFont="1" applyFill="1" applyBorder="1" applyAlignment="1">
      <alignment horizontal="center" vertical="center"/>
    </xf>
    <xf numFmtId="4" fontId="49" fillId="5" borderId="30" xfId="0" applyNumberFormat="1" applyFont="1" applyFill="1" applyBorder="1" applyAlignment="1">
      <alignment horizontal="center" vertical="center"/>
    </xf>
    <xf numFmtId="4" fontId="70" fillId="5" borderId="34" xfId="0" applyNumberFormat="1" applyFont="1" applyFill="1" applyBorder="1" applyAlignment="1">
      <alignment horizontal="center" vertical="center"/>
    </xf>
    <xf numFmtId="4" fontId="48" fillId="5" borderId="40" xfId="0" applyNumberFormat="1" applyFont="1" applyFill="1" applyBorder="1" applyAlignment="1">
      <alignment horizontal="center" vertical="center" shrinkToFit="1"/>
    </xf>
    <xf numFmtId="4" fontId="48" fillId="5" borderId="105" xfId="0" applyNumberFormat="1" applyFont="1" applyFill="1" applyBorder="1" applyAlignment="1">
      <alignment horizontal="center" vertical="center" shrinkToFit="1"/>
    </xf>
    <xf numFmtId="4" fontId="46" fillId="5" borderId="93" xfId="0" applyNumberFormat="1" applyFont="1" applyFill="1" applyBorder="1" applyAlignment="1">
      <alignment horizontal="center" vertical="center" shrinkToFit="1"/>
    </xf>
    <xf numFmtId="4" fontId="74" fillId="5" borderId="104" xfId="0" applyNumberFormat="1" applyFont="1" applyFill="1" applyBorder="1" applyAlignment="1">
      <alignment horizontal="center" vertical="center"/>
    </xf>
    <xf numFmtId="4" fontId="48" fillId="5" borderId="88" xfId="0" applyNumberFormat="1" applyFont="1" applyFill="1" applyBorder="1" applyAlignment="1">
      <alignment horizontal="center" vertical="center" shrinkToFit="1"/>
    </xf>
    <xf numFmtId="4" fontId="48" fillId="5" borderId="94" xfId="0" applyNumberFormat="1" applyFont="1" applyFill="1" applyBorder="1" applyAlignment="1">
      <alignment horizontal="center" vertical="center"/>
    </xf>
    <xf numFmtId="4" fontId="46" fillId="5" borderId="40" xfId="0" applyNumberFormat="1" applyFont="1" applyFill="1" applyBorder="1" applyAlignment="1">
      <alignment horizontal="center" vertical="center" shrinkToFit="1"/>
    </xf>
    <xf numFmtId="4" fontId="46" fillId="5" borderId="38" xfId="0" applyNumberFormat="1" applyFont="1" applyFill="1" applyBorder="1" applyAlignment="1">
      <alignment horizontal="center" vertical="center" shrinkToFit="1"/>
    </xf>
    <xf numFmtId="4" fontId="49" fillId="5" borderId="104" xfId="0" applyNumberFormat="1" applyFont="1" applyFill="1" applyBorder="1" applyAlignment="1">
      <alignment horizontal="center" vertical="center"/>
    </xf>
    <xf numFmtId="4" fontId="51" fillId="5" borderId="106" xfId="0" applyNumberFormat="1" applyFont="1" applyFill="1" applyBorder="1" applyAlignment="1">
      <alignment horizontal="center" vertical="center" wrapText="1"/>
    </xf>
    <xf numFmtId="4" fontId="48" fillId="5" borderId="107" xfId="0" applyNumberFormat="1" applyFont="1" applyFill="1" applyBorder="1" applyAlignment="1">
      <alignment horizontal="center" vertical="center" shrinkToFit="1"/>
    </xf>
    <xf numFmtId="4" fontId="67" fillId="5" borderId="30" xfId="0" applyNumberFormat="1" applyFont="1" applyFill="1" applyBorder="1" applyAlignment="1">
      <alignment horizontal="center" vertical="center"/>
    </xf>
    <xf numFmtId="4" fontId="67" fillId="5" borderId="108" xfId="0" applyNumberFormat="1" applyFont="1" applyFill="1" applyBorder="1" applyAlignment="1">
      <alignment horizontal="center" vertical="center" wrapText="1"/>
    </xf>
    <xf numFmtId="4" fontId="75" fillId="5" borderId="37" xfId="0" applyNumberFormat="1" applyFont="1" applyFill="1" applyBorder="1" applyAlignment="1">
      <alignment horizontal="center" vertical="center"/>
    </xf>
    <xf numFmtId="4" fontId="75" fillId="5" borderId="30" xfId="0" applyNumberFormat="1" applyFont="1" applyFill="1" applyBorder="1" applyAlignment="1">
      <alignment horizontal="center" vertical="center"/>
    </xf>
    <xf numFmtId="4" fontId="83" fillId="5" borderId="30" xfId="0" applyNumberFormat="1" applyFont="1" applyFill="1" applyBorder="1" applyAlignment="1">
      <alignment horizontal="center" vertical="center"/>
    </xf>
    <xf numFmtId="4" fontId="67" fillId="5" borderId="34" xfId="0" applyNumberFormat="1" applyFont="1" applyFill="1" applyBorder="1" applyAlignment="1">
      <alignment horizontal="center" vertical="center" wrapText="1"/>
    </xf>
    <xf numFmtId="4" fontId="48" fillId="5" borderId="67" xfId="0" applyNumberFormat="1" applyFont="1" applyFill="1" applyBorder="1" applyAlignment="1">
      <alignment horizontal="center" vertical="center"/>
    </xf>
    <xf numFmtId="4" fontId="48" fillId="5" borderId="77" xfId="0" applyNumberFormat="1" applyFont="1" applyFill="1" applyBorder="1" applyAlignment="1">
      <alignment horizontal="center" vertical="center"/>
    </xf>
    <xf numFmtId="4" fontId="46" fillId="5" borderId="109" xfId="0" applyNumberFormat="1" applyFont="1" applyFill="1" applyBorder="1" applyAlignment="1">
      <alignment horizontal="center" vertical="center" shrinkToFit="1"/>
    </xf>
    <xf numFmtId="4" fontId="48" fillId="5" borderId="93" xfId="0" applyNumberFormat="1" applyFont="1" applyFill="1" applyBorder="1" applyAlignment="1">
      <alignment horizontal="center" vertical="center" shrinkToFit="1"/>
    </xf>
    <xf numFmtId="4" fontId="48" fillId="5" borderId="10" xfId="0" applyNumberFormat="1" applyFont="1" applyFill="1" applyBorder="1" applyAlignment="1">
      <alignment horizontal="center" vertical="center"/>
    </xf>
    <xf numFmtId="4" fontId="50" fillId="5" borderId="32" xfId="0" applyNumberFormat="1" applyFont="1" applyFill="1" applyBorder="1" applyAlignment="1">
      <alignment horizontal="center" vertical="center"/>
    </xf>
    <xf numFmtId="4" fontId="48" fillId="5" borderId="98" xfId="0" applyNumberFormat="1" applyFont="1" applyFill="1" applyBorder="1" applyAlignment="1">
      <alignment horizontal="center" vertical="center" shrinkToFit="1"/>
    </xf>
    <xf numFmtId="4" fontId="53" fillId="5" borderId="98" xfId="0" applyNumberFormat="1" applyFont="1" applyFill="1" applyBorder="1" applyAlignment="1">
      <alignment horizontal="center" vertical="center" shrinkToFit="1"/>
    </xf>
    <xf numFmtId="10" fontId="53" fillId="5" borderId="98" xfId="0" applyNumberFormat="1" applyFont="1" applyFill="1" applyBorder="1" applyAlignment="1">
      <alignment horizontal="center" vertical="center"/>
    </xf>
    <xf numFmtId="4" fontId="53" fillId="5" borderId="110" xfId="0" applyNumberFormat="1" applyFont="1" applyFill="1" applyBorder="1" applyAlignment="1">
      <alignment horizontal="center" vertical="center" shrinkToFit="1"/>
    </xf>
    <xf numFmtId="4" fontId="75" fillId="5" borderId="39" xfId="0" applyNumberFormat="1" applyFont="1" applyFill="1" applyBorder="1" applyAlignment="1">
      <alignment horizontal="center" vertical="center" shrinkToFit="1"/>
    </xf>
    <xf numFmtId="4" fontId="74" fillId="5" borderId="59" xfId="0" applyNumberFormat="1" applyFont="1" applyFill="1" applyBorder="1" applyAlignment="1">
      <alignment horizontal="center" vertical="center" shrinkToFit="1"/>
    </xf>
    <xf numFmtId="4" fontId="74" fillId="5" borderId="62" xfId="0" applyNumberFormat="1" applyFont="1" applyFill="1" applyBorder="1" applyAlignment="1">
      <alignment horizontal="center" vertical="center" shrinkToFit="1"/>
    </xf>
    <xf numFmtId="4" fontId="46" fillId="5" borderId="62" xfId="0" applyNumberFormat="1" applyFont="1" applyFill="1" applyBorder="1" applyAlignment="1">
      <alignment horizontal="center" vertical="center" shrinkToFit="1"/>
    </xf>
    <xf numFmtId="4" fontId="48" fillId="5" borderId="78" xfId="0" applyNumberFormat="1" applyFont="1" applyFill="1" applyBorder="1" applyAlignment="1">
      <alignment horizontal="center" vertical="center" shrinkToFit="1"/>
    </xf>
    <xf numFmtId="4" fontId="48" fillId="5" borderId="111" xfId="0" applyNumberFormat="1" applyFont="1" applyFill="1" applyBorder="1" applyAlignment="1">
      <alignment horizontal="center" vertical="center" shrinkToFit="1"/>
    </xf>
    <xf numFmtId="4" fontId="48" fillId="5" borderId="112" xfId="0" applyNumberFormat="1" applyFont="1" applyFill="1" applyBorder="1" applyAlignment="1">
      <alignment horizontal="center" vertical="center" wrapText="1"/>
    </xf>
    <xf numFmtId="4" fontId="48" fillId="5" borderId="113" xfId="0" applyNumberFormat="1" applyFont="1" applyFill="1" applyBorder="1" applyAlignment="1">
      <alignment horizontal="center" vertical="center" shrinkToFit="1"/>
    </xf>
    <xf numFmtId="4" fontId="48" fillId="5" borderId="114" xfId="0" applyNumberFormat="1" applyFont="1" applyFill="1" applyBorder="1" applyAlignment="1">
      <alignment horizontal="center" vertical="center" shrinkToFit="1"/>
    </xf>
    <xf numFmtId="4" fontId="48" fillId="5" borderId="115" xfId="0" applyNumberFormat="1" applyFont="1" applyFill="1" applyBorder="1" applyAlignment="1">
      <alignment horizontal="center" vertical="center" shrinkToFit="1"/>
    </xf>
    <xf numFmtId="4" fontId="83" fillId="5" borderId="71" xfId="0" applyNumberFormat="1" applyFont="1" applyFill="1" applyBorder="1" applyAlignment="1">
      <alignment horizontal="center" vertical="center" wrapText="1"/>
    </xf>
    <xf numFmtId="4" fontId="59" fillId="5" borderId="33" xfId="0" applyNumberFormat="1" applyFont="1" applyFill="1" applyBorder="1" applyAlignment="1">
      <alignment horizontal="center" vertical="center" shrinkToFit="1"/>
    </xf>
    <xf numFmtId="4" fontId="59" fillId="5" borderId="10" xfId="0" applyNumberFormat="1" applyFont="1" applyFill="1" applyBorder="1" applyAlignment="1">
      <alignment horizontal="center" vertical="center"/>
    </xf>
    <xf numFmtId="4" fontId="53" fillId="5" borderId="91" xfId="0" applyNumberFormat="1" applyFont="1" applyFill="1" applyBorder="1" applyAlignment="1">
      <alignment horizontal="center" vertical="center" wrapText="1"/>
    </xf>
    <xf numFmtId="4" fontId="74" fillId="5" borderId="26" xfId="0" applyNumberFormat="1" applyFont="1" applyFill="1" applyBorder="1" applyAlignment="1">
      <alignment horizontal="left" vertical="center"/>
    </xf>
    <xf numFmtId="4" fontId="46" fillId="5" borderId="116" xfId="0" applyNumberFormat="1" applyFont="1" applyFill="1" applyBorder="1" applyAlignment="1">
      <alignment horizontal="center" vertical="center"/>
    </xf>
    <xf numFmtId="4" fontId="38" fillId="5" borderId="117" xfId="0" applyNumberFormat="1" applyFont="1" applyFill="1" applyBorder="1" applyAlignment="1">
      <alignment horizontal="center" vertical="center"/>
    </xf>
    <xf numFmtId="4" fontId="67" fillId="5" borderId="35" xfId="0" applyNumberFormat="1" applyFont="1" applyFill="1" applyBorder="1" applyAlignment="1">
      <alignment horizontal="center" vertical="center"/>
    </xf>
    <xf numFmtId="4" fontId="67" fillId="5" borderId="36" xfId="0" applyNumberFormat="1" applyFont="1" applyFill="1" applyBorder="1" applyAlignment="1">
      <alignment horizontal="center" vertical="center"/>
    </xf>
    <xf numFmtId="4" fontId="67" fillId="5" borderId="37" xfId="0" applyNumberFormat="1" applyFont="1" applyFill="1" applyBorder="1" applyAlignment="1">
      <alignment horizontal="center" vertical="center"/>
    </xf>
    <xf numFmtId="4" fontId="68" fillId="5" borderId="40" xfId="0" applyNumberFormat="1" applyFont="1" applyFill="1" applyBorder="1" applyAlignment="1">
      <alignment horizontal="center" vertical="center" shrinkToFit="1"/>
    </xf>
    <xf numFmtId="4" fontId="68" fillId="5" borderId="38" xfId="0" applyNumberFormat="1" applyFont="1" applyFill="1" applyBorder="1" applyAlignment="1">
      <alignment horizontal="center" vertical="center" shrinkToFit="1"/>
    </xf>
    <xf numFmtId="2" fontId="68" fillId="5" borderId="38" xfId="0" applyNumberFormat="1" applyFont="1" applyFill="1" applyBorder="1" applyAlignment="1">
      <alignment horizontal="center" vertical="center" shrinkToFit="1"/>
    </xf>
    <xf numFmtId="2" fontId="68" fillId="5" borderId="41" xfId="0" applyNumberFormat="1" applyFont="1" applyFill="1" applyBorder="1" applyAlignment="1">
      <alignment horizontal="center" vertical="center" shrinkToFit="1"/>
    </xf>
    <xf numFmtId="2" fontId="68" fillId="5" borderId="118" xfId="0" applyNumberFormat="1" applyFont="1" applyFill="1" applyBorder="1" applyAlignment="1">
      <alignment horizontal="center" vertical="center" shrinkToFit="1"/>
    </xf>
    <xf numFmtId="4" fontId="69" fillId="5" borderId="23" xfId="0" applyNumberFormat="1" applyFont="1" applyFill="1" applyBorder="1" applyAlignment="1">
      <alignment horizontal="center" vertical="center" wrapText="1"/>
    </xf>
    <xf numFmtId="4" fontId="48" fillId="5" borderId="119" xfId="0" applyNumberFormat="1" applyFont="1" applyFill="1" applyBorder="1" applyAlignment="1">
      <alignment horizontal="center" vertical="center" shrinkToFit="1"/>
    </xf>
    <xf numFmtId="4" fontId="46" fillId="5" borderId="120" xfId="0" applyNumberFormat="1" applyFont="1" applyFill="1" applyBorder="1" applyAlignment="1">
      <alignment horizontal="center" vertical="center" shrinkToFit="1"/>
    </xf>
    <xf numFmtId="4" fontId="49" fillId="5" borderId="121" xfId="0" applyNumberFormat="1" applyFont="1" applyFill="1" applyBorder="1" applyAlignment="1">
      <alignment horizontal="center" vertical="center"/>
    </xf>
    <xf numFmtId="10" fontId="68" fillId="5" borderId="30" xfId="0" applyNumberFormat="1" applyFont="1" applyFill="1" applyBorder="1" applyAlignment="1">
      <alignment horizontal="center" vertical="center" shrinkToFit="1"/>
    </xf>
    <xf numFmtId="10" fontId="68" fillId="5" borderId="34" xfId="0" applyNumberFormat="1" applyFont="1" applyFill="1" applyBorder="1" applyAlignment="1">
      <alignment horizontal="center" vertical="center" shrinkToFit="1"/>
    </xf>
    <xf numFmtId="4" fontId="48" fillId="5" borderId="122" xfId="0" applyNumberFormat="1" applyFont="1" applyFill="1" applyBorder="1" applyAlignment="1">
      <alignment horizontal="center" vertical="center"/>
    </xf>
    <xf numFmtId="1" fontId="68" fillId="5" borderId="37" xfId="0" applyNumberFormat="1" applyFont="1" applyFill="1" applyBorder="1" applyAlignment="1">
      <alignment horizontal="center" vertical="center" shrinkToFit="1"/>
    </xf>
    <xf numFmtId="1" fontId="68" fillId="5" borderId="56" xfId="0" applyNumberFormat="1" applyFont="1" applyFill="1" applyBorder="1" applyAlignment="1">
      <alignment horizontal="center" vertical="center" shrinkToFit="1"/>
    </xf>
    <xf numFmtId="4" fontId="68" fillId="5" borderId="58" xfId="0" applyNumberFormat="1" applyFont="1" applyFill="1" applyBorder="1" applyAlignment="1">
      <alignment horizontal="center" vertical="center" shrinkToFit="1"/>
    </xf>
    <xf numFmtId="4" fontId="68" fillId="5" borderId="30" xfId="0" applyNumberFormat="1" applyFont="1" applyFill="1" applyBorder="1" applyAlignment="1">
      <alignment horizontal="center" vertical="center" shrinkToFit="1"/>
    </xf>
    <xf numFmtId="2" fontId="68" fillId="5" borderId="30" xfId="0" applyNumberFormat="1" applyFont="1" applyFill="1" applyBorder="1" applyAlignment="1">
      <alignment horizontal="center" vertical="center" shrinkToFit="1"/>
    </xf>
    <xf numFmtId="10" fontId="68" fillId="5" borderId="57" xfId="0" applyNumberFormat="1" applyFont="1" applyFill="1" applyBorder="1" applyAlignment="1">
      <alignment horizontal="center" vertical="center" shrinkToFit="1"/>
    </xf>
    <xf numFmtId="2" fontId="68" fillId="5" borderId="0" xfId="0" applyNumberFormat="1" applyFont="1" applyFill="1" applyBorder="1" applyAlignment="1">
      <alignment horizontal="center" vertical="center" shrinkToFit="1"/>
    </xf>
    <xf numFmtId="2" fontId="68" fillId="5" borderId="48" xfId="0" applyNumberFormat="1" applyFont="1" applyFill="1" applyBorder="1" applyAlignment="1">
      <alignment horizontal="center" vertical="center" shrinkToFit="1"/>
    </xf>
    <xf numFmtId="4" fontId="34" fillId="5" borderId="123" xfId="0" applyNumberFormat="1" applyFont="1" applyFill="1" applyBorder="1" applyAlignment="1">
      <alignment horizontal="center" vertical="center"/>
    </xf>
    <xf numFmtId="4" fontId="34" fillId="5" borderId="0" xfId="0" applyNumberFormat="1" applyFont="1" applyFill="1" applyBorder="1" applyAlignment="1">
      <alignment horizontal="center" vertical="center"/>
    </xf>
    <xf numFmtId="4" fontId="66" fillId="5" borderId="68" xfId="0" applyNumberFormat="1" applyFont="1" applyFill="1" applyBorder="1" applyAlignment="1">
      <alignment horizontal="center" vertical="center" wrapText="1"/>
    </xf>
    <xf numFmtId="4" fontId="46" fillId="5" borderId="124" xfId="0" applyNumberFormat="1" applyFont="1" applyFill="1" applyBorder="1" applyAlignment="1">
      <alignment horizontal="center" vertical="center" shrinkToFit="1"/>
    </xf>
    <xf numFmtId="4" fontId="49" fillId="5" borderId="29" xfId="0" applyNumberFormat="1" applyFont="1" applyFill="1" applyBorder="1" applyAlignment="1">
      <alignment horizontal="center" vertical="center"/>
    </xf>
    <xf numFmtId="4" fontId="73" fillId="5" borderId="48" xfId="0" applyNumberFormat="1" applyFont="1" applyFill="1" applyBorder="1" applyAlignment="1">
      <alignment horizontal="center" vertical="center" wrapText="1"/>
    </xf>
    <xf numFmtId="4" fontId="67" fillId="5" borderId="72" xfId="0" applyNumberFormat="1" applyFont="1" applyFill="1" applyBorder="1" applyAlignment="1">
      <alignment horizontal="center" vertical="center"/>
    </xf>
    <xf numFmtId="4" fontId="67" fillId="5" borderId="53" xfId="0" applyNumberFormat="1" applyFont="1" applyFill="1" applyBorder="1" applyAlignment="1">
      <alignment horizontal="center" vertical="center"/>
    </xf>
    <xf numFmtId="4" fontId="67" fillId="5" borderId="68" xfId="0" applyNumberFormat="1" applyFont="1" applyFill="1" applyBorder="1" applyAlignment="1">
      <alignment horizontal="center" vertical="center"/>
    </xf>
    <xf numFmtId="4" fontId="92" fillId="5" borderId="0" xfId="0" applyNumberFormat="1" applyFont="1" applyFill="1" applyBorder="1" applyAlignment="1">
      <alignment horizontal="left" vertical="center"/>
    </xf>
    <xf numFmtId="4" fontId="67" fillId="5" borderId="71" xfId="0" applyNumberFormat="1" applyFont="1" applyFill="1" applyBorder="1" applyAlignment="1">
      <alignment horizontal="center" vertical="center"/>
    </xf>
    <xf numFmtId="4" fontId="67" fillId="5" borderId="48" xfId="0" applyNumberFormat="1" applyFont="1" applyFill="1" applyBorder="1" applyAlignment="1">
      <alignment horizontal="center" vertical="center" shrinkToFit="1"/>
    </xf>
    <xf numFmtId="2" fontId="68" fillId="5" borderId="37" xfId="0" applyNumberFormat="1" applyFont="1" applyFill="1" applyBorder="1" applyAlignment="1">
      <alignment horizontal="center" vertical="center" shrinkToFit="1"/>
    </xf>
    <xf numFmtId="2" fontId="68" fillId="5" borderId="57" xfId="0" applyNumberFormat="1" applyFont="1" applyFill="1" applyBorder="1" applyAlignment="1">
      <alignment horizontal="center" vertical="center" shrinkToFit="1"/>
    </xf>
    <xf numFmtId="4" fontId="49" fillId="5" borderId="0" xfId="0" applyNumberFormat="1" applyFont="1" applyFill="1" applyBorder="1" applyAlignment="1" quotePrefix="1">
      <alignment horizontal="center" vertical="center"/>
    </xf>
    <xf numFmtId="172" fontId="49" fillId="5" borderId="71" xfId="0" applyNumberFormat="1" applyFont="1" applyFill="1" applyBorder="1" applyAlignment="1">
      <alignment horizontal="center" vertical="center" shrinkToFit="1"/>
    </xf>
    <xf numFmtId="4" fontId="57" fillId="5" borderId="0" xfId="0" applyNumberFormat="1" applyFont="1" applyFill="1" applyBorder="1" applyAlignment="1">
      <alignment horizontal="center" vertical="center" wrapText="1"/>
    </xf>
    <xf numFmtId="4" fontId="74" fillId="5" borderId="78" xfId="0" applyNumberFormat="1" applyFont="1" applyFill="1" applyBorder="1" applyAlignment="1">
      <alignment horizontal="center" vertical="center" shrinkToFit="1"/>
    </xf>
    <xf numFmtId="4" fontId="68" fillId="5" borderId="81" xfId="0" applyNumberFormat="1" applyFont="1" applyFill="1" applyBorder="1" applyAlignment="1">
      <alignment horizontal="center" vertical="center" wrapText="1"/>
    </xf>
    <xf numFmtId="4" fontId="68" fillId="5" borderId="82" xfId="0" applyNumberFormat="1" applyFont="1" applyFill="1" applyBorder="1" applyAlignment="1">
      <alignment horizontal="center" vertical="center" wrapText="1"/>
    </xf>
    <xf numFmtId="4" fontId="68" fillId="5" borderId="116" xfId="0" applyNumberFormat="1" applyFont="1" applyFill="1" applyBorder="1" applyAlignment="1">
      <alignment horizontal="center" vertical="center" wrapText="1"/>
    </xf>
    <xf numFmtId="4" fontId="68" fillId="5" borderId="43" xfId="0" applyNumberFormat="1" applyFont="1" applyFill="1" applyBorder="1" applyAlignment="1">
      <alignment horizontal="center" vertical="center" wrapText="1"/>
    </xf>
    <xf numFmtId="4" fontId="48" fillId="5" borderId="118" xfId="0" applyNumberFormat="1" applyFont="1" applyFill="1" applyBorder="1" applyAlignment="1">
      <alignment horizontal="center" vertical="center" shrinkToFit="1"/>
    </xf>
    <xf numFmtId="4" fontId="59" fillId="5" borderId="0" xfId="0" applyNumberFormat="1" applyFont="1" applyFill="1" applyBorder="1" applyAlignment="1">
      <alignment horizontal="center" vertical="center"/>
    </xf>
    <xf numFmtId="4" fontId="59" fillId="5" borderId="10" xfId="0" applyNumberFormat="1" applyFont="1" applyFill="1" applyBorder="1" applyAlignment="1">
      <alignment horizontal="center" vertical="center"/>
    </xf>
    <xf numFmtId="4" fontId="89" fillId="5" borderId="0" xfId="0" applyNumberFormat="1" applyFont="1" applyFill="1" applyBorder="1" applyAlignment="1">
      <alignment horizontal="center" vertical="center" shrinkToFit="1"/>
    </xf>
    <xf numFmtId="4" fontId="89" fillId="5" borderId="0" xfId="0" applyNumberFormat="1" applyFont="1" applyFill="1" applyBorder="1" applyAlignment="1">
      <alignment horizontal="center" vertical="center"/>
    </xf>
    <xf numFmtId="2" fontId="74" fillId="5" borderId="85" xfId="0" applyNumberFormat="1" applyFont="1" applyFill="1" applyBorder="1" applyAlignment="1">
      <alignment horizontal="center" vertical="center" shrinkToFit="1"/>
    </xf>
    <xf numFmtId="2" fontId="74" fillId="5" borderId="86" xfId="0" applyNumberFormat="1" applyFont="1" applyFill="1" applyBorder="1" applyAlignment="1">
      <alignment horizontal="center" vertical="center" shrinkToFit="1"/>
    </xf>
    <xf numFmtId="2" fontId="74" fillId="5" borderId="87" xfId="0" applyNumberFormat="1" applyFont="1" applyFill="1" applyBorder="1" applyAlignment="1">
      <alignment horizontal="center" vertical="center" shrinkToFit="1"/>
    </xf>
    <xf numFmtId="2" fontId="74" fillId="5" borderId="84" xfId="0" applyNumberFormat="1" applyFont="1" applyFill="1" applyBorder="1" applyAlignment="1">
      <alignment horizontal="center" vertical="center" shrinkToFit="1"/>
    </xf>
    <xf numFmtId="2" fontId="74" fillId="5" borderId="48" xfId="0" applyNumberFormat="1" applyFont="1" applyFill="1" applyBorder="1" applyAlignment="1">
      <alignment horizontal="center" vertical="center" shrinkToFit="1"/>
    </xf>
    <xf numFmtId="4" fontId="49" fillId="5" borderId="20" xfId="0" applyNumberFormat="1" applyFont="1" applyFill="1" applyBorder="1" applyAlignment="1">
      <alignment horizontal="center" vertical="center"/>
    </xf>
    <xf numFmtId="4" fontId="49" fillId="5" borderId="0" xfId="0" applyNumberFormat="1" applyFont="1" applyFill="1" applyBorder="1" applyAlignment="1">
      <alignment horizontal="center" vertical="center"/>
    </xf>
    <xf numFmtId="4" fontId="53" fillId="5" borderId="30" xfId="0" applyNumberFormat="1" applyFont="1" applyFill="1" applyBorder="1" applyAlignment="1">
      <alignment horizontal="center" vertical="center"/>
    </xf>
    <xf numFmtId="4" fontId="66" fillId="5" borderId="34" xfId="0" applyNumberFormat="1" applyFont="1" applyFill="1" applyBorder="1" applyAlignment="1">
      <alignment horizontal="center" vertical="center" wrapText="1"/>
    </xf>
    <xf numFmtId="4" fontId="49" fillId="5" borderId="89" xfId="0" applyNumberFormat="1" applyFont="1" applyFill="1" applyBorder="1" applyAlignment="1">
      <alignment horizontal="center" vertical="center"/>
    </xf>
    <xf numFmtId="4" fontId="49" fillId="5" borderId="90" xfId="0" applyNumberFormat="1" applyFont="1" applyFill="1" applyBorder="1" applyAlignment="1">
      <alignment horizontal="center" vertical="center" wrapText="1"/>
    </xf>
    <xf numFmtId="4" fontId="49" fillId="5" borderId="91" xfId="0" applyNumberFormat="1" applyFont="1" applyFill="1" applyBorder="1" applyAlignment="1">
      <alignment horizontal="center" vertical="center" wrapText="1"/>
    </xf>
    <xf numFmtId="4" fontId="46" fillId="5" borderId="118" xfId="0" applyNumberFormat="1" applyFont="1" applyFill="1" applyBorder="1" applyAlignment="1">
      <alignment horizontal="center" vertical="center" shrinkToFit="1"/>
    </xf>
    <xf numFmtId="4" fontId="68" fillId="5" borderId="125" xfId="0" applyNumberFormat="1" applyFont="1" applyFill="1" applyBorder="1" applyAlignment="1">
      <alignment horizontal="center" vertical="center" wrapText="1"/>
    </xf>
    <xf numFmtId="4" fontId="76" fillId="5" borderId="37" xfId="0" applyNumberFormat="1" applyFont="1" applyFill="1" applyBorder="1" applyAlignment="1">
      <alignment horizontal="center" vertical="center"/>
    </xf>
    <xf numFmtId="4" fontId="76" fillId="5" borderId="30" xfId="0" applyNumberFormat="1" applyFont="1" applyFill="1" applyBorder="1" applyAlignment="1">
      <alignment horizontal="center" vertical="center"/>
    </xf>
    <xf numFmtId="4" fontId="68" fillId="5" borderId="34" xfId="0" applyNumberFormat="1" applyFont="1" applyFill="1" applyBorder="1" applyAlignment="1">
      <alignment horizontal="center" vertical="center"/>
    </xf>
    <xf numFmtId="4" fontId="67" fillId="5" borderId="48" xfId="0" applyNumberFormat="1" applyFont="1" applyFill="1" applyBorder="1" applyAlignment="1">
      <alignment horizontal="center" vertical="center"/>
    </xf>
    <xf numFmtId="4" fontId="49" fillId="5" borderId="93" xfId="0" applyNumberFormat="1" applyFont="1" applyFill="1" applyBorder="1" applyAlignment="1">
      <alignment horizontal="center" vertical="center" wrapText="1"/>
    </xf>
    <xf numFmtId="4" fontId="44" fillId="5" borderId="91" xfId="0" applyNumberFormat="1" applyFont="1" applyFill="1" applyBorder="1" applyAlignment="1">
      <alignment horizontal="center" vertical="center"/>
    </xf>
    <xf numFmtId="4" fontId="53" fillId="5" borderId="126" xfId="0" applyNumberFormat="1" applyFont="1" applyFill="1" applyBorder="1" applyAlignment="1">
      <alignment horizontal="center" vertical="center"/>
    </xf>
    <xf numFmtId="4" fontId="67" fillId="5" borderId="102" xfId="0" applyNumberFormat="1" applyFont="1" applyFill="1" applyBorder="1" applyAlignment="1">
      <alignment horizontal="center" vertical="center"/>
    </xf>
    <xf numFmtId="4" fontId="67" fillId="5" borderId="103" xfId="0" applyNumberFormat="1" applyFont="1" applyFill="1" applyBorder="1" applyAlignment="1">
      <alignment horizontal="center" vertical="center"/>
    </xf>
    <xf numFmtId="4" fontId="76" fillId="5" borderId="34" xfId="0" applyNumberFormat="1" applyFont="1" applyFill="1" applyBorder="1" applyAlignment="1">
      <alignment horizontal="center" vertical="center"/>
    </xf>
    <xf numFmtId="4" fontId="50" fillId="5" borderId="94" xfId="0" applyNumberFormat="1" applyFont="1" applyFill="1" applyBorder="1" applyAlignment="1">
      <alignment horizontal="center" vertical="center"/>
    </xf>
    <xf numFmtId="4" fontId="48" fillId="5" borderId="104" xfId="0" applyNumberFormat="1" applyFont="1" applyFill="1" applyBorder="1" applyAlignment="1">
      <alignment horizontal="center" vertical="center"/>
    </xf>
    <xf numFmtId="4" fontId="66" fillId="5" borderId="108" xfId="0" applyNumberFormat="1" applyFont="1" applyFill="1" applyBorder="1" applyAlignment="1">
      <alignment horizontal="center" vertical="center" wrapText="1"/>
    </xf>
    <xf numFmtId="4" fontId="48" fillId="5" borderId="39" xfId="0" applyNumberFormat="1" applyFont="1" applyFill="1" applyBorder="1" applyAlignment="1">
      <alignment horizontal="center" vertical="center" shrinkToFit="1"/>
    </xf>
    <xf numFmtId="4" fontId="68" fillId="5" borderId="37" xfId="0" applyNumberFormat="1" applyFont="1" applyFill="1" applyBorder="1" applyAlignment="1">
      <alignment horizontal="center" vertical="center"/>
    </xf>
    <xf numFmtId="4" fontId="68" fillId="5" borderId="34" xfId="0" applyNumberFormat="1" applyFont="1" applyFill="1" applyBorder="1" applyAlignment="1">
      <alignment horizontal="center" vertical="center" wrapText="1"/>
    </xf>
    <xf numFmtId="4" fontId="49" fillId="5" borderId="67" xfId="0" applyNumberFormat="1" applyFont="1" applyFill="1" applyBorder="1" applyAlignment="1">
      <alignment horizontal="center" vertical="center"/>
    </xf>
    <xf numFmtId="4" fontId="49" fillId="5" borderId="77" xfId="0" applyNumberFormat="1" applyFont="1" applyFill="1" applyBorder="1" applyAlignment="1">
      <alignment horizontal="center" vertical="center"/>
    </xf>
    <xf numFmtId="4" fontId="50" fillId="5" borderId="10" xfId="0" applyNumberFormat="1" applyFont="1" applyFill="1" applyBorder="1" applyAlignment="1">
      <alignment horizontal="center" vertical="center"/>
    </xf>
    <xf numFmtId="4" fontId="50" fillId="5" borderId="116" xfId="0" applyNumberFormat="1" applyFont="1" applyFill="1" applyBorder="1" applyAlignment="1">
      <alignment horizontal="center" vertical="center"/>
    </xf>
    <xf numFmtId="4" fontId="74" fillId="5" borderId="39" xfId="0" applyNumberFormat="1" applyFont="1" applyFill="1" applyBorder="1" applyAlignment="1">
      <alignment horizontal="center" vertical="center" shrinkToFit="1"/>
    </xf>
    <xf numFmtId="4" fontId="48" fillId="5" borderId="127" xfId="0" applyNumberFormat="1" applyFont="1" applyFill="1" applyBorder="1" applyAlignment="1">
      <alignment horizontal="center" vertical="center" shrinkToFit="1"/>
    </xf>
    <xf numFmtId="4" fontId="33" fillId="5" borderId="128" xfId="0" applyNumberFormat="1" applyFont="1" applyFill="1" applyBorder="1" applyAlignment="1">
      <alignment horizontal="center" vertical="center"/>
    </xf>
    <xf numFmtId="4" fontId="49" fillId="5" borderId="121" xfId="0" applyNumberFormat="1" applyFont="1" applyFill="1" applyBorder="1" applyAlignment="1">
      <alignment horizontal="center" vertical="center" wrapText="1"/>
    </xf>
    <xf numFmtId="4" fontId="98" fillId="5" borderId="129" xfId="0" applyNumberFormat="1" applyFont="1" applyFill="1" applyBorder="1" applyAlignment="1">
      <alignment horizontal="center" vertical="center" wrapText="1"/>
    </xf>
    <xf numFmtId="4" fontId="99" fillId="5" borderId="0" xfId="0" applyNumberFormat="1" applyFont="1" applyFill="1" applyBorder="1" applyAlignment="1">
      <alignment horizontal="center" vertical="center"/>
    </xf>
    <xf numFmtId="4" fontId="98" fillId="5" borderId="129" xfId="0" applyNumberFormat="1" applyFont="1" applyFill="1" applyBorder="1" applyAlignment="1">
      <alignment horizontal="center" vertical="center"/>
    </xf>
    <xf numFmtId="4" fontId="49" fillId="5" borderId="130" xfId="0" applyNumberFormat="1" applyFont="1" applyFill="1" applyBorder="1" applyAlignment="1">
      <alignment horizontal="center" vertical="center"/>
    </xf>
    <xf numFmtId="4" fontId="48" fillId="5" borderId="13" xfId="0" applyNumberFormat="1" applyFont="1" applyFill="1" applyBorder="1" applyAlignment="1">
      <alignment horizontal="center" vertical="center"/>
    </xf>
    <xf numFmtId="4" fontId="48" fillId="5" borderId="131" xfId="0" applyNumberFormat="1" applyFont="1" applyFill="1" applyBorder="1" applyAlignment="1">
      <alignment horizontal="center" vertical="center"/>
    </xf>
    <xf numFmtId="4" fontId="49" fillId="5" borderId="132" xfId="0" applyNumberFormat="1" applyFont="1" applyFill="1" applyBorder="1" applyAlignment="1">
      <alignment horizontal="center" vertical="center"/>
    </xf>
    <xf numFmtId="10" fontId="48" fillId="5" borderId="128" xfId="0" applyNumberFormat="1" applyFont="1" applyFill="1" applyBorder="1" applyAlignment="1">
      <alignment horizontal="center" vertical="center" shrinkToFit="1"/>
    </xf>
    <xf numFmtId="4" fontId="48" fillId="5" borderId="0" xfId="0" applyNumberFormat="1" applyFont="1" applyFill="1" applyBorder="1" applyAlignment="1">
      <alignment horizontal="center" vertical="center" shrinkToFit="1"/>
    </xf>
    <xf numFmtId="3" fontId="48" fillId="5" borderId="0" xfId="0" applyNumberFormat="1" applyFont="1" applyFill="1" applyBorder="1" applyAlignment="1">
      <alignment horizontal="center" vertical="center" shrinkToFit="1"/>
    </xf>
    <xf numFmtId="4" fontId="46" fillId="5" borderId="0" xfId="0" applyNumberFormat="1" applyFont="1" applyFill="1" applyBorder="1" applyAlignment="1">
      <alignment horizontal="center" vertical="center" shrinkToFit="1"/>
    </xf>
    <xf numFmtId="4" fontId="50" fillId="5" borderId="7" xfId="0" applyNumberFormat="1" applyFont="1" applyFill="1" applyBorder="1" applyAlignment="1">
      <alignment horizontal="center" vertical="center" wrapText="1"/>
    </xf>
    <xf numFmtId="0" fontId="48" fillId="5" borderId="1" xfId="0" applyNumberFormat="1" applyFont="1" applyFill="1" applyBorder="1" applyAlignment="1">
      <alignment horizontal="center" vertical="center" wrapText="1"/>
    </xf>
    <xf numFmtId="4" fontId="49" fillId="5" borderId="133" xfId="0" applyNumberFormat="1" applyFont="1" applyFill="1" applyBorder="1" applyAlignment="1">
      <alignment horizontal="center" vertical="center"/>
    </xf>
    <xf numFmtId="4" fontId="49" fillId="5" borderId="134" xfId="0" applyNumberFormat="1" applyFont="1" applyFill="1" applyBorder="1" applyAlignment="1">
      <alignment horizontal="center" vertical="center"/>
    </xf>
    <xf numFmtId="4" fontId="49" fillId="5" borderId="135" xfId="0" applyNumberFormat="1" applyFont="1" applyFill="1" applyBorder="1" applyAlignment="1">
      <alignment horizontal="center" vertical="center"/>
    </xf>
    <xf numFmtId="4" fontId="49" fillId="5" borderId="136" xfId="0" applyNumberFormat="1" applyFont="1" applyFill="1" applyBorder="1" applyAlignment="1">
      <alignment horizontal="center" vertical="center"/>
    </xf>
    <xf numFmtId="4" fontId="98" fillId="5" borderId="137" xfId="0" applyNumberFormat="1" applyFont="1" applyFill="1" applyBorder="1" applyAlignment="1">
      <alignment horizontal="center" vertical="center"/>
    </xf>
    <xf numFmtId="4" fontId="80" fillId="5" borderId="3" xfId="0" applyNumberFormat="1" applyFont="1" applyFill="1" applyBorder="1" applyAlignment="1">
      <alignment horizontal="center" vertical="center" wrapText="1"/>
    </xf>
    <xf numFmtId="4" fontId="80" fillId="5" borderId="2" xfId="0" applyNumberFormat="1" applyFont="1" applyFill="1" applyBorder="1" applyAlignment="1">
      <alignment horizontal="center" vertical="center" wrapText="1"/>
    </xf>
    <xf numFmtId="4" fontId="48" fillId="5" borderId="138" xfId="0" applyNumberFormat="1" applyFont="1" applyFill="1" applyBorder="1" applyAlignment="1">
      <alignment horizontal="center" vertical="center"/>
    </xf>
    <xf numFmtId="4" fontId="74" fillId="5" borderId="139" xfId="0" applyNumberFormat="1" applyFont="1" applyFill="1" applyBorder="1" applyAlignment="1">
      <alignment horizontal="center" vertical="center"/>
    </xf>
    <xf numFmtId="4" fontId="49" fillId="5" borderId="140" xfId="0" applyNumberFormat="1" applyFont="1" applyFill="1" applyBorder="1" applyAlignment="1">
      <alignment horizontal="center" vertical="center"/>
    </xf>
    <xf numFmtId="4" fontId="46" fillId="5" borderId="107" xfId="0" applyNumberFormat="1" applyFont="1" applyFill="1" applyBorder="1" applyAlignment="1">
      <alignment horizontal="center" vertical="center"/>
    </xf>
    <xf numFmtId="4" fontId="46" fillId="5" borderId="141" xfId="0" applyNumberFormat="1" applyFont="1" applyFill="1" applyBorder="1" applyAlignment="1">
      <alignment horizontal="center" vertical="center"/>
    </xf>
    <xf numFmtId="4" fontId="48" fillId="5" borderId="141" xfId="0" applyNumberFormat="1" applyFont="1" applyFill="1" applyBorder="1" applyAlignment="1">
      <alignment horizontal="center" vertical="center"/>
    </xf>
    <xf numFmtId="4" fontId="46" fillId="5" borderId="42" xfId="0" applyNumberFormat="1" applyFont="1" applyFill="1" applyBorder="1" applyAlignment="1">
      <alignment horizontal="center" vertical="center"/>
    </xf>
    <xf numFmtId="4" fontId="48" fillId="5" borderId="142" xfId="0" applyNumberFormat="1" applyFont="1" applyFill="1" applyBorder="1" applyAlignment="1">
      <alignment horizontal="center" vertical="center"/>
    </xf>
    <xf numFmtId="4" fontId="48" fillId="5" borderId="143" xfId="0" applyNumberFormat="1" applyFont="1" applyFill="1" applyBorder="1" applyAlignment="1">
      <alignment horizontal="center" vertical="center"/>
    </xf>
    <xf numFmtId="4" fontId="33" fillId="5" borderId="140" xfId="0" applyNumberFormat="1" applyFont="1" applyFill="1" applyBorder="1" applyAlignment="1">
      <alignment horizontal="center" vertical="center"/>
    </xf>
    <xf numFmtId="4" fontId="48" fillId="5" borderId="144" xfId="0" applyNumberFormat="1" applyFont="1" applyFill="1" applyBorder="1" applyAlignment="1">
      <alignment horizontal="center" vertical="center"/>
    </xf>
    <xf numFmtId="4" fontId="48" fillId="5" borderId="145" xfId="0" applyNumberFormat="1" applyFont="1" applyFill="1" applyBorder="1" applyAlignment="1">
      <alignment horizontal="center" vertical="center"/>
    </xf>
    <xf numFmtId="4" fontId="48" fillId="5" borderId="146" xfId="0" applyNumberFormat="1" applyFont="1" applyFill="1" applyBorder="1" applyAlignment="1">
      <alignment horizontal="center" vertical="center"/>
    </xf>
    <xf numFmtId="4" fontId="48" fillId="5" borderId="147" xfId="0" applyNumberFormat="1" applyFont="1" applyFill="1" applyBorder="1" applyAlignment="1">
      <alignment horizontal="center" vertical="center"/>
    </xf>
    <xf numFmtId="10" fontId="48" fillId="5" borderId="7" xfId="0" applyNumberFormat="1" applyFont="1" applyFill="1" applyBorder="1" applyAlignment="1">
      <alignment horizontal="center" vertical="center"/>
    </xf>
    <xf numFmtId="4" fontId="81" fillId="5" borderId="148" xfId="0" applyNumberFormat="1" applyFont="1" applyFill="1" applyBorder="1" applyAlignment="1">
      <alignment horizontal="center" vertical="center"/>
    </xf>
    <xf numFmtId="4" fontId="81" fillId="5" borderId="149" xfId="0" applyNumberFormat="1" applyFont="1" applyFill="1" applyBorder="1" applyAlignment="1">
      <alignment horizontal="center" vertical="center"/>
    </xf>
    <xf numFmtId="4" fontId="101" fillId="5" borderId="149" xfId="0" applyNumberFormat="1" applyFont="1" applyFill="1" applyBorder="1" applyAlignment="1">
      <alignment horizontal="center" vertical="center"/>
    </xf>
    <xf numFmtId="4" fontId="81" fillId="5" borderId="150" xfId="0" applyNumberFormat="1" applyFont="1" applyFill="1" applyBorder="1" applyAlignment="1">
      <alignment horizontal="center" vertical="center"/>
    </xf>
    <xf numFmtId="4" fontId="81" fillId="5" borderId="138" xfId="0" applyNumberFormat="1" applyFont="1" applyFill="1" applyBorder="1" applyAlignment="1">
      <alignment horizontal="center" vertical="center"/>
    </xf>
    <xf numFmtId="4" fontId="81" fillId="5" borderId="139" xfId="0" applyNumberFormat="1" applyFont="1" applyFill="1" applyBorder="1" applyAlignment="1">
      <alignment horizontal="center" vertical="center"/>
    </xf>
    <xf numFmtId="4" fontId="44" fillId="5" borderId="16" xfId="0" applyNumberFormat="1" applyFont="1" applyFill="1" applyBorder="1" applyAlignment="1">
      <alignment horizontal="center" vertical="center"/>
    </xf>
    <xf numFmtId="4" fontId="44" fillId="5" borderId="1" xfId="0" applyNumberFormat="1" applyFont="1" applyFill="1" applyBorder="1" applyAlignment="1">
      <alignment horizontal="center" vertical="center"/>
    </xf>
    <xf numFmtId="10" fontId="48" fillId="5" borderId="151" xfId="0" applyNumberFormat="1" applyFont="1" applyFill="1" applyBorder="1" applyAlignment="1">
      <alignment horizontal="center" vertical="center" shrinkToFit="1"/>
    </xf>
    <xf numFmtId="4" fontId="48" fillId="5" borderId="152" xfId="0" applyNumberFormat="1" applyFont="1" applyFill="1" applyBorder="1" applyAlignment="1">
      <alignment horizontal="center" vertical="center" shrinkToFit="1"/>
    </xf>
    <xf numFmtId="4" fontId="98" fillId="5" borderId="153" xfId="0" applyNumberFormat="1" applyFont="1" applyFill="1" applyBorder="1" applyAlignment="1">
      <alignment horizontal="center" vertical="center"/>
    </xf>
    <xf numFmtId="4" fontId="98" fillId="5" borderId="154" xfId="0" applyNumberFormat="1" applyFont="1" applyFill="1" applyBorder="1" applyAlignment="1">
      <alignment horizontal="center" vertical="center"/>
    </xf>
    <xf numFmtId="4" fontId="98" fillId="5" borderId="134" xfId="0" applyNumberFormat="1" applyFont="1" applyFill="1" applyBorder="1" applyAlignment="1">
      <alignment horizontal="center" vertical="center"/>
    </xf>
    <xf numFmtId="4" fontId="101" fillId="5" borderId="16" xfId="0" applyNumberFormat="1" applyFont="1" applyFill="1" applyBorder="1" applyAlignment="1">
      <alignment horizontal="center" vertical="center"/>
    </xf>
    <xf numFmtId="4" fontId="101" fillId="5" borderId="1" xfId="0" applyNumberFormat="1" applyFont="1" applyFill="1" applyBorder="1" applyAlignment="1">
      <alignment horizontal="center" vertical="center"/>
    </xf>
    <xf numFmtId="4" fontId="46" fillId="5" borderId="131" xfId="0" applyNumberFormat="1" applyFont="1" applyFill="1" applyBorder="1" applyAlignment="1">
      <alignment horizontal="center" vertical="center" wrapText="1"/>
    </xf>
    <xf numFmtId="4" fontId="102" fillId="5" borderId="1" xfId="0" applyNumberFormat="1" applyFont="1" applyFill="1" applyBorder="1" applyAlignment="1">
      <alignment horizontal="center" vertical="center"/>
    </xf>
    <xf numFmtId="4" fontId="48" fillId="5" borderId="1" xfId="0" applyNumberFormat="1" applyFont="1" applyFill="1" applyBorder="1" applyAlignment="1">
      <alignment horizontal="center" vertical="center" wrapText="1"/>
    </xf>
    <xf numFmtId="4" fontId="48" fillId="5" borderId="131" xfId="0" applyNumberFormat="1" applyFont="1" applyFill="1" applyBorder="1" applyAlignment="1">
      <alignment horizontal="center" vertical="center" shrinkToFit="1"/>
    </xf>
    <xf numFmtId="0" fontId="59" fillId="5" borderId="4" xfId="0" applyNumberFormat="1" applyFont="1" applyFill="1" applyBorder="1" applyAlignment="1">
      <alignment horizontal="center" vertical="center"/>
    </xf>
    <xf numFmtId="4" fontId="33" fillId="5" borderId="151" xfId="0" applyNumberFormat="1" applyFont="1" applyFill="1" applyBorder="1" applyAlignment="1">
      <alignment horizontal="center" vertical="center"/>
    </xf>
    <xf numFmtId="4" fontId="33" fillId="5" borderId="152" xfId="0" applyNumberFormat="1" applyFont="1" applyFill="1" applyBorder="1" applyAlignment="1">
      <alignment horizontal="center" vertical="center"/>
    </xf>
    <xf numFmtId="4" fontId="59" fillId="5" borderId="6" xfId="0" applyNumberFormat="1" applyFont="1" applyFill="1" applyBorder="1" applyAlignment="1">
      <alignment horizontal="center" vertical="center" wrapText="1"/>
    </xf>
    <xf numFmtId="4" fontId="33" fillId="5" borderId="155" xfId="0" applyNumberFormat="1" applyFont="1" applyFill="1" applyBorder="1" applyAlignment="1">
      <alignment horizontal="center" vertical="center"/>
    </xf>
    <xf numFmtId="0" fontId="30" fillId="0" borderId="0" xfId="0" applyFont="1" applyAlignment="1">
      <alignment horizontal="center" vertical="center" wrapText="1"/>
    </xf>
    <xf numFmtId="0" fontId="21" fillId="7" borderId="1" xfId="0" applyFont="1" applyFill="1" applyBorder="1" applyAlignment="1">
      <alignment horizontal="center" vertical="center" wrapText="1"/>
    </xf>
    <xf numFmtId="4" fontId="22" fillId="7" borderId="1" xfId="0" applyNumberFormat="1" applyFont="1" applyFill="1" applyBorder="1" applyAlignment="1">
      <alignment horizontal="center" vertical="center" wrapText="1"/>
    </xf>
    <xf numFmtId="0" fontId="21" fillId="8" borderId="1" xfId="0" applyFont="1" applyFill="1" applyBorder="1" applyAlignment="1">
      <alignment horizontal="center" vertical="center" wrapText="1"/>
    </xf>
    <xf numFmtId="4" fontId="22" fillId="8" borderId="1" xfId="0" applyNumberFormat="1" applyFont="1" applyFill="1" applyBorder="1" applyAlignment="1">
      <alignment horizontal="center" vertical="center" wrapText="1"/>
    </xf>
    <xf numFmtId="0" fontId="21" fillId="9" borderId="1" xfId="0" applyFont="1" applyFill="1" applyBorder="1" applyAlignment="1">
      <alignment horizontal="center" vertical="center" wrapText="1"/>
    </xf>
    <xf numFmtId="4" fontId="22" fillId="9" borderId="1" xfId="0" applyNumberFormat="1" applyFont="1" applyFill="1" applyBorder="1" applyAlignment="1">
      <alignment horizontal="center" vertical="center" wrapText="1"/>
    </xf>
    <xf numFmtId="0" fontId="31" fillId="4" borderId="156" xfId="0" applyFont="1" applyFill="1" applyBorder="1" applyAlignment="1">
      <alignment horizontal="center" vertical="center" wrapText="1"/>
    </xf>
    <xf numFmtId="49" fontId="105" fillId="0" borderId="0" xfId="0" applyNumberFormat="1" applyFont="1" applyAlignment="1">
      <alignment horizontal="center" vertical="center" wrapText="1"/>
    </xf>
    <xf numFmtId="0" fontId="22" fillId="3" borderId="131" xfId="0" applyFont="1" applyFill="1" applyBorder="1" applyAlignment="1">
      <alignment horizontal="center" vertical="center" wrapText="1"/>
    </xf>
    <xf numFmtId="0" fontId="30" fillId="0" borderId="0" xfId="0" applyFont="1" applyAlignment="1">
      <alignment horizontal="center" vertical="center" wrapText="1"/>
    </xf>
    <xf numFmtId="4" fontId="24" fillId="2" borderId="139" xfId="0" applyNumberFormat="1" applyFont="1" applyFill="1" applyBorder="1" applyAlignment="1">
      <alignment horizontal="center" vertical="center" wrapText="1"/>
    </xf>
    <xf numFmtId="0" fontId="108" fillId="0" borderId="9" xfId="0" applyFont="1" applyBorder="1" applyAlignment="1">
      <alignment horizontal="center" vertical="center" wrapText="1"/>
    </xf>
    <xf numFmtId="0" fontId="108" fillId="0" borderId="1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57" xfId="0" applyFont="1" applyBorder="1" applyAlignment="1">
      <alignment horizontal="center" vertical="center" wrapText="1"/>
    </xf>
    <xf numFmtId="0" fontId="21" fillId="0" borderId="9" xfId="0" applyFont="1" applyBorder="1" applyAlignment="1">
      <alignment horizontal="center" vertical="center" wrapText="1"/>
    </xf>
    <xf numFmtId="4" fontId="22" fillId="0" borderId="158" xfId="0" applyNumberFormat="1" applyFont="1" applyBorder="1" applyAlignment="1">
      <alignment horizontal="center" vertical="center" wrapText="1"/>
    </xf>
    <xf numFmtId="4" fontId="22" fillId="0" borderId="159" xfId="0" applyNumberFormat="1" applyFont="1" applyBorder="1" applyAlignment="1">
      <alignment horizontal="center" vertical="center" wrapText="1"/>
    </xf>
    <xf numFmtId="4" fontId="22" fillId="3" borderId="131" xfId="0" applyNumberFormat="1" applyFont="1" applyFill="1" applyBorder="1" applyAlignment="1">
      <alignment horizontal="center" vertical="center" wrapText="1"/>
    </xf>
    <xf numFmtId="0" fontId="28" fillId="3" borderId="160" xfId="0" applyFont="1" applyFill="1" applyBorder="1" applyAlignment="1">
      <alignment horizontal="center" vertical="center" wrapText="1"/>
    </xf>
    <xf numFmtId="0" fontId="28" fillId="3" borderId="161" xfId="0" applyFont="1" applyFill="1" applyBorder="1" applyAlignment="1">
      <alignment horizontal="center" vertical="center" wrapText="1"/>
    </xf>
    <xf numFmtId="0" fontId="28" fillId="3" borderId="162" xfId="0" applyFont="1" applyFill="1" applyBorder="1" applyAlignment="1">
      <alignment horizontal="center" vertical="center" wrapText="1"/>
    </xf>
    <xf numFmtId="4" fontId="22" fillId="3" borderId="163" xfId="0" applyNumberFormat="1" applyFont="1" applyFill="1" applyBorder="1" applyAlignment="1">
      <alignment horizontal="center" vertical="center" wrapText="1"/>
    </xf>
    <xf numFmtId="0" fontId="16" fillId="10" borderId="9" xfId="0" applyFont="1" applyFill="1" applyBorder="1" applyAlignment="1">
      <alignment horizontal="center" vertical="center" wrapText="1"/>
    </xf>
    <xf numFmtId="0" fontId="16" fillId="10" borderId="11" xfId="0" applyFont="1" applyFill="1" applyBorder="1" applyAlignment="1">
      <alignment horizontal="center" vertical="center" wrapText="1"/>
    </xf>
    <xf numFmtId="0" fontId="16" fillId="10" borderId="164" xfId="0" applyFont="1" applyFill="1" applyBorder="1" applyAlignment="1">
      <alignment horizontal="center" vertical="center" wrapText="1"/>
    </xf>
    <xf numFmtId="0" fontId="16" fillId="10" borderId="165" xfId="0" applyFont="1" applyFill="1" applyBorder="1" applyAlignment="1">
      <alignment horizontal="center" vertical="center" wrapText="1"/>
    </xf>
    <xf numFmtId="0" fontId="112" fillId="0" borderId="151" xfId="0" applyFont="1" applyBorder="1" applyAlignment="1">
      <alignment horizontal="center" vertical="center" wrapText="1"/>
    </xf>
    <xf numFmtId="0" fontId="112" fillId="0" borderId="155" xfId="0" applyFont="1" applyBorder="1" applyAlignment="1">
      <alignment horizontal="center" vertical="center" wrapText="1"/>
    </xf>
    <xf numFmtId="0" fontId="18" fillId="10" borderId="5" xfId="0" applyFont="1" applyFill="1" applyBorder="1" applyAlignment="1">
      <alignment horizontal="center" vertical="center" wrapText="1"/>
    </xf>
    <xf numFmtId="0" fontId="18" fillId="10" borderId="166" xfId="0" applyFont="1" applyFill="1" applyBorder="1" applyAlignment="1">
      <alignment horizontal="center" vertical="center" wrapText="1"/>
    </xf>
    <xf numFmtId="0" fontId="20" fillId="0" borderId="163" xfId="0" applyFont="1" applyBorder="1" applyAlignment="1">
      <alignment horizontal="center" vertical="center" wrapText="1"/>
    </xf>
    <xf numFmtId="0" fontId="32" fillId="5" borderId="0" xfId="0" applyFont="1" applyFill="1" applyAlignment="1">
      <alignment horizontal="center" vertical="center" wrapText="1"/>
    </xf>
    <xf numFmtId="0" fontId="32" fillId="5" borderId="12" xfId="0" applyFont="1" applyFill="1" applyBorder="1" applyAlignment="1">
      <alignment horizontal="center" vertical="center" wrapText="1"/>
    </xf>
    <xf numFmtId="0" fontId="39" fillId="5" borderId="8" xfId="0" applyFont="1" applyFill="1" applyBorder="1" applyAlignment="1">
      <alignment horizontal="center" vertical="center" wrapText="1"/>
    </xf>
    <xf numFmtId="0" fontId="39" fillId="5" borderId="4" xfId="0" applyFont="1" applyFill="1" applyBorder="1" applyAlignment="1">
      <alignment horizontal="center" vertical="center" wrapText="1"/>
    </xf>
    <xf numFmtId="0" fontId="38" fillId="5" borderId="1" xfId="0" applyFont="1" applyFill="1" applyBorder="1" applyAlignment="1">
      <alignment horizontal="center" vertical="center" wrapText="1"/>
    </xf>
    <xf numFmtId="0" fontId="37" fillId="5" borderId="0" xfId="0" applyFont="1" applyFill="1" applyBorder="1" applyAlignment="1">
      <alignment horizontal="center" vertical="center" wrapText="1"/>
    </xf>
    <xf numFmtId="4" fontId="49" fillId="5" borderId="7" xfId="0" applyNumberFormat="1" applyFont="1" applyFill="1" applyBorder="1" applyAlignment="1">
      <alignment horizontal="center" vertical="center" wrapText="1"/>
    </xf>
    <xf numFmtId="4" fontId="49" fillId="5" borderId="15" xfId="0" applyNumberFormat="1" applyFont="1" applyFill="1" applyBorder="1" applyAlignment="1">
      <alignment horizontal="center" vertical="center" wrapText="1"/>
    </xf>
    <xf numFmtId="4" fontId="48" fillId="5" borderId="7" xfId="0" applyNumberFormat="1" applyFont="1" applyFill="1" applyBorder="1" applyAlignment="1">
      <alignment horizontal="center" vertical="center" wrapText="1"/>
    </xf>
    <xf numFmtId="4" fontId="48" fillId="5" borderId="15" xfId="0" applyNumberFormat="1" applyFont="1" applyFill="1" applyBorder="1" applyAlignment="1">
      <alignment horizontal="center" vertical="center" wrapText="1"/>
    </xf>
    <xf numFmtId="4" fontId="49" fillId="5" borderId="16" xfId="0" applyNumberFormat="1" applyFont="1" applyFill="1" applyBorder="1" applyAlignment="1">
      <alignment horizontal="center" vertical="center" wrapText="1"/>
    </xf>
    <xf numFmtId="4" fontId="44" fillId="5" borderId="7" xfId="0" applyNumberFormat="1" applyFont="1" applyFill="1" applyBorder="1" applyAlignment="1">
      <alignment horizontal="center" vertical="center" wrapText="1"/>
    </xf>
    <xf numFmtId="4" fontId="44" fillId="5" borderId="15" xfId="0" applyNumberFormat="1" applyFont="1" applyFill="1" applyBorder="1" applyAlignment="1">
      <alignment horizontal="center" vertical="center" wrapText="1"/>
    </xf>
    <xf numFmtId="4" fontId="50" fillId="5" borderId="17" xfId="0" applyNumberFormat="1" applyFont="1" applyFill="1" applyBorder="1" applyAlignment="1">
      <alignment horizontal="center" vertical="center" wrapText="1"/>
    </xf>
    <xf numFmtId="4" fontId="50" fillId="5" borderId="11" xfId="0" applyNumberFormat="1" applyFont="1" applyFill="1" applyBorder="1" applyAlignment="1">
      <alignment horizontal="center" vertical="center" wrapText="1"/>
    </xf>
    <xf numFmtId="4" fontId="55" fillId="5" borderId="7" xfId="0" applyNumberFormat="1" applyFont="1" applyFill="1" applyBorder="1" applyAlignment="1">
      <alignment horizontal="center" vertical="center" wrapText="1"/>
    </xf>
    <xf numFmtId="4" fontId="55" fillId="5" borderId="15" xfId="0" applyNumberFormat="1" applyFont="1" applyFill="1" applyBorder="1" applyAlignment="1">
      <alignment horizontal="center" vertical="center" wrapText="1"/>
    </xf>
    <xf numFmtId="0" fontId="48" fillId="5" borderId="7" xfId="0" applyFont="1" applyFill="1" applyBorder="1" applyAlignment="1">
      <alignment horizontal="center" vertical="center" wrapText="1"/>
    </xf>
    <xf numFmtId="0" fontId="48" fillId="5" borderId="15" xfId="0" applyFont="1" applyFill="1" applyBorder="1" applyAlignment="1">
      <alignment horizontal="center" vertical="center" wrapText="1"/>
    </xf>
    <xf numFmtId="4" fontId="48" fillId="5" borderId="1" xfId="0" applyNumberFormat="1" applyFont="1" applyFill="1" applyBorder="1" applyAlignment="1">
      <alignment horizontal="center" vertical="center" wrapText="1"/>
    </xf>
    <xf numFmtId="4" fontId="59" fillId="5" borderId="7" xfId="0" applyNumberFormat="1" applyFont="1" applyFill="1" applyBorder="1" applyAlignment="1">
      <alignment horizontal="center" vertical="center" wrapText="1"/>
    </xf>
    <xf numFmtId="4" fontId="59" fillId="5" borderId="15" xfId="0" applyNumberFormat="1" applyFont="1" applyFill="1" applyBorder="1" applyAlignment="1">
      <alignment horizontal="center" vertical="center" wrapText="1"/>
    </xf>
    <xf numFmtId="4" fontId="59" fillId="5" borderId="16" xfId="0" applyNumberFormat="1" applyFont="1" applyFill="1" applyBorder="1" applyAlignment="1">
      <alignment horizontal="center" vertical="center" wrapText="1"/>
    </xf>
    <xf numFmtId="4" fontId="62" fillId="5" borderId="0" xfId="0" applyNumberFormat="1" applyFont="1" applyFill="1" applyBorder="1" applyAlignment="1">
      <alignment horizontal="center" vertical="center"/>
    </xf>
    <xf numFmtId="4" fontId="65" fillId="5" borderId="125" xfId="0" applyNumberFormat="1" applyFont="1" applyFill="1" applyBorder="1" applyAlignment="1">
      <alignment horizontal="center" vertical="center" shrinkToFit="1"/>
    </xf>
    <xf numFmtId="4" fontId="65" fillId="5" borderId="121" xfId="0" applyNumberFormat="1" applyFont="1" applyFill="1" applyBorder="1" applyAlignment="1">
      <alignment horizontal="center" vertical="center" shrinkToFit="1"/>
    </xf>
    <xf numFmtId="4" fontId="65" fillId="5" borderId="167" xfId="0" applyNumberFormat="1" applyFont="1" applyFill="1" applyBorder="1" applyAlignment="1">
      <alignment horizontal="center" vertical="center" shrinkToFit="1"/>
    </xf>
    <xf numFmtId="4" fontId="62" fillId="5" borderId="12" xfId="0" applyNumberFormat="1" applyFont="1" applyFill="1" applyBorder="1" applyAlignment="1">
      <alignment horizontal="center" vertical="center"/>
    </xf>
    <xf numFmtId="4" fontId="67" fillId="5" borderId="36" xfId="0" applyNumberFormat="1" applyFont="1" applyFill="1" applyBorder="1" applyAlignment="1">
      <alignment horizontal="center" vertical="center" wrapText="1"/>
    </xf>
    <xf numFmtId="4" fontId="67" fillId="5" borderId="30" xfId="0" applyNumberFormat="1" applyFont="1" applyFill="1" applyBorder="1" applyAlignment="1">
      <alignment horizontal="center" vertical="center" wrapText="1"/>
    </xf>
    <xf numFmtId="4" fontId="68" fillId="5" borderId="168" xfId="0" applyNumberFormat="1" applyFont="1" applyFill="1" applyBorder="1" applyAlignment="1">
      <alignment horizontal="center" vertical="center" wrapText="1"/>
    </xf>
    <xf numFmtId="4" fontId="68" fillId="5" borderId="48" xfId="0" applyNumberFormat="1" applyFont="1" applyFill="1" applyBorder="1" applyAlignment="1">
      <alignment horizontal="center" vertical="center" wrapText="1"/>
    </xf>
    <xf numFmtId="4" fontId="67" fillId="5" borderId="157" xfId="0" applyNumberFormat="1" applyFont="1" applyFill="1" applyBorder="1" applyAlignment="1">
      <alignment horizontal="center" vertical="center"/>
    </xf>
    <xf numFmtId="4" fontId="67" fillId="5" borderId="169" xfId="0" applyNumberFormat="1" applyFont="1" applyFill="1" applyBorder="1" applyAlignment="1">
      <alignment horizontal="center" vertical="center"/>
    </xf>
    <xf numFmtId="4" fontId="69" fillId="5" borderId="170" xfId="0" applyNumberFormat="1" applyFont="1" applyFill="1" applyBorder="1" applyAlignment="1">
      <alignment horizontal="center" vertical="center"/>
    </xf>
    <xf numFmtId="4" fontId="69" fillId="5" borderId="157" xfId="0" applyNumberFormat="1" applyFont="1" applyFill="1" applyBorder="1" applyAlignment="1">
      <alignment horizontal="center" vertical="center"/>
    </xf>
    <xf numFmtId="4" fontId="69" fillId="5" borderId="169" xfId="0" applyNumberFormat="1" applyFont="1" applyFill="1" applyBorder="1" applyAlignment="1">
      <alignment horizontal="center" vertical="center"/>
    </xf>
    <xf numFmtId="4" fontId="68" fillId="5" borderId="171" xfId="0" applyNumberFormat="1" applyFont="1" applyFill="1" applyBorder="1" applyAlignment="1">
      <alignment horizontal="center" vertical="center"/>
    </xf>
    <xf numFmtId="4" fontId="68" fillId="5" borderId="172" xfId="0" applyNumberFormat="1" applyFont="1" applyFill="1" applyBorder="1" applyAlignment="1">
      <alignment horizontal="center" vertical="center"/>
    </xf>
    <xf numFmtId="4" fontId="68" fillId="5" borderId="173" xfId="0" applyNumberFormat="1" applyFont="1" applyFill="1" applyBorder="1" applyAlignment="1">
      <alignment horizontal="center" vertical="center"/>
    </xf>
    <xf numFmtId="4" fontId="49" fillId="5" borderId="174" xfId="0" applyNumberFormat="1" applyFont="1" applyFill="1" applyBorder="1" applyAlignment="1">
      <alignment horizontal="center" vertical="center"/>
    </xf>
    <xf numFmtId="4" fontId="49" fillId="5" borderId="18" xfId="0" applyNumberFormat="1" applyFont="1" applyFill="1" applyBorder="1" applyAlignment="1">
      <alignment horizontal="center" vertical="center"/>
    </xf>
    <xf numFmtId="0" fontId="62" fillId="5" borderId="175" xfId="0" applyNumberFormat="1" applyFont="1" applyFill="1" applyBorder="1" applyAlignment="1">
      <alignment horizontal="center" vertical="center"/>
    </xf>
    <xf numFmtId="0" fontId="62" fillId="5" borderId="58" xfId="0" applyNumberFormat="1" applyFont="1" applyFill="1" applyBorder="1" applyAlignment="1">
      <alignment horizontal="center" vertical="center"/>
    </xf>
    <xf numFmtId="0" fontId="62" fillId="5" borderId="9" xfId="0" applyNumberFormat="1" applyFont="1" applyFill="1" applyBorder="1" applyAlignment="1">
      <alignment horizontal="center" vertical="center"/>
    </xf>
    <xf numFmtId="0" fontId="62" fillId="5" borderId="176" xfId="0" applyNumberFormat="1" applyFont="1" applyFill="1" applyBorder="1" applyAlignment="1">
      <alignment horizontal="center" vertical="center"/>
    </xf>
    <xf numFmtId="4" fontId="68" fillId="5" borderId="29" xfId="0" applyNumberFormat="1" applyFont="1" applyFill="1" applyBorder="1" applyAlignment="1">
      <alignment horizontal="center" vertical="center" wrapText="1"/>
    </xf>
    <xf numFmtId="4" fontId="68" fillId="5" borderId="30" xfId="0" applyNumberFormat="1" applyFont="1" applyFill="1" applyBorder="1" applyAlignment="1">
      <alignment horizontal="center" vertical="center" wrapText="1"/>
    </xf>
    <xf numFmtId="4" fontId="68" fillId="5" borderId="71" xfId="0" applyNumberFormat="1" applyFont="1" applyFill="1" applyBorder="1" applyAlignment="1">
      <alignment horizontal="center" vertical="center"/>
    </xf>
    <xf numFmtId="4" fontId="70" fillId="5" borderId="177" xfId="0" applyNumberFormat="1" applyFont="1" applyFill="1" applyBorder="1" applyAlignment="1">
      <alignment horizontal="center" vertical="center"/>
    </xf>
    <xf numFmtId="4" fontId="46" fillId="5" borderId="66" xfId="0" applyNumberFormat="1" applyFont="1" applyFill="1" applyBorder="1" applyAlignment="1">
      <alignment horizontal="center" vertical="center" shrinkToFit="1"/>
    </xf>
    <xf numFmtId="4" fontId="46" fillId="5" borderId="178" xfId="0" applyNumberFormat="1" applyFont="1" applyFill="1" applyBorder="1" applyAlignment="1">
      <alignment horizontal="center" vertical="center" shrinkToFit="1"/>
    </xf>
    <xf numFmtId="4" fontId="68" fillId="5" borderId="179" xfId="0" applyNumberFormat="1" applyFont="1" applyFill="1" applyBorder="1" applyAlignment="1">
      <alignment horizontal="center" vertical="center"/>
    </xf>
    <xf numFmtId="4" fontId="68" fillId="5" borderId="177" xfId="0" applyNumberFormat="1" applyFont="1" applyFill="1" applyBorder="1" applyAlignment="1">
      <alignment horizontal="center" vertical="center"/>
    </xf>
    <xf numFmtId="4" fontId="46" fillId="5" borderId="180" xfId="0" applyNumberFormat="1" applyFont="1" applyFill="1" applyBorder="1" applyAlignment="1">
      <alignment horizontal="center" vertical="center" shrinkToFit="1"/>
    </xf>
    <xf numFmtId="4" fontId="46" fillId="5" borderId="181" xfId="0" applyNumberFormat="1" applyFont="1" applyFill="1" applyBorder="1" applyAlignment="1">
      <alignment horizontal="center" vertical="center" shrinkToFit="1"/>
    </xf>
    <xf numFmtId="4" fontId="65" fillId="5" borderId="33" xfId="0" applyNumberFormat="1" applyFont="1" applyFill="1" applyBorder="1" applyAlignment="1">
      <alignment horizontal="center" vertical="center" shrinkToFit="1"/>
    </xf>
    <xf numFmtId="4" fontId="65" fillId="5" borderId="10" xfId="0" applyNumberFormat="1" applyFont="1" applyFill="1" applyBorder="1" applyAlignment="1">
      <alignment horizontal="center" vertical="center" shrinkToFit="1"/>
    </xf>
    <xf numFmtId="4" fontId="73" fillId="5" borderId="36" xfId="0" applyNumberFormat="1" applyFont="1" applyFill="1" applyBorder="1" applyAlignment="1">
      <alignment horizontal="center" vertical="center" wrapText="1"/>
    </xf>
    <xf numFmtId="4" fontId="73" fillId="5" borderId="30" xfId="0" applyNumberFormat="1" applyFont="1" applyFill="1" applyBorder="1" applyAlignment="1">
      <alignment horizontal="center" vertical="center" wrapText="1"/>
    </xf>
    <xf numFmtId="4" fontId="72" fillId="5" borderId="36" xfId="0" applyNumberFormat="1" applyFont="1" applyFill="1" applyBorder="1" applyAlignment="1">
      <alignment horizontal="center" vertical="center" wrapText="1"/>
    </xf>
    <xf numFmtId="4" fontId="72" fillId="5" borderId="30" xfId="0" applyNumberFormat="1" applyFont="1" applyFill="1" applyBorder="1" applyAlignment="1">
      <alignment horizontal="center" vertical="center" wrapText="1"/>
    </xf>
    <xf numFmtId="4" fontId="73" fillId="5" borderId="36" xfId="0" applyNumberFormat="1" applyFont="1" applyFill="1" applyBorder="1" applyAlignment="1">
      <alignment horizontal="center" vertical="center" wrapText="1" shrinkToFit="1"/>
    </xf>
    <xf numFmtId="4" fontId="73" fillId="5" borderId="30" xfId="0" applyNumberFormat="1" applyFont="1" applyFill="1" applyBorder="1" applyAlignment="1">
      <alignment horizontal="center" vertical="center" wrapText="1" shrinkToFit="1"/>
    </xf>
    <xf numFmtId="4" fontId="73" fillId="5" borderId="182" xfId="0" applyNumberFormat="1" applyFont="1" applyFill="1" applyBorder="1" applyAlignment="1">
      <alignment horizontal="center" vertical="center" wrapText="1"/>
    </xf>
    <xf numFmtId="4" fontId="73" fillId="5" borderId="56" xfId="0" applyNumberFormat="1" applyFont="1" applyFill="1" applyBorder="1" applyAlignment="1">
      <alignment horizontal="center" vertical="center" wrapText="1"/>
    </xf>
    <xf numFmtId="4" fontId="72" fillId="5" borderId="17" xfId="0" applyNumberFormat="1" applyFont="1" applyFill="1" applyBorder="1" applyAlignment="1">
      <alignment horizontal="center" vertical="center" wrapText="1"/>
    </xf>
    <xf numFmtId="4" fontId="72" fillId="5" borderId="9" xfId="0" applyNumberFormat="1" applyFont="1" applyFill="1" applyBorder="1" applyAlignment="1">
      <alignment horizontal="center" vertical="center" wrapText="1"/>
    </xf>
    <xf numFmtId="4" fontId="62" fillId="5" borderId="33" xfId="0" applyNumberFormat="1" applyFont="1" applyFill="1" applyBorder="1" applyAlignment="1">
      <alignment horizontal="center" vertical="center" shrinkToFit="1"/>
    </xf>
    <xf numFmtId="4" fontId="62" fillId="5" borderId="10" xfId="0" applyNumberFormat="1" applyFont="1" applyFill="1" applyBorder="1" applyAlignment="1">
      <alignment horizontal="center" vertical="center" shrinkToFit="1"/>
    </xf>
    <xf numFmtId="4" fontId="67" fillId="5" borderId="29" xfId="0" applyNumberFormat="1" applyFont="1" applyFill="1" applyBorder="1" applyAlignment="1">
      <alignment horizontal="center" vertical="center" wrapText="1"/>
    </xf>
    <xf numFmtId="4" fontId="67" fillId="5" borderId="43" xfId="0" applyNumberFormat="1" applyFont="1" applyFill="1" applyBorder="1" applyAlignment="1">
      <alignment horizontal="center" vertical="center" wrapText="1"/>
    </xf>
    <xf numFmtId="4" fontId="67" fillId="5" borderId="183" xfId="0" applyNumberFormat="1" applyFont="1" applyFill="1" applyBorder="1" applyAlignment="1">
      <alignment horizontal="center" vertical="center" wrapText="1"/>
    </xf>
    <xf numFmtId="4" fontId="67" fillId="5" borderId="48" xfId="0" applyNumberFormat="1" applyFont="1" applyFill="1" applyBorder="1" applyAlignment="1">
      <alignment horizontal="center" vertical="center" wrapText="1"/>
    </xf>
    <xf numFmtId="4" fontId="67" fillId="5" borderId="38" xfId="0" applyNumberFormat="1" applyFont="1" applyFill="1" applyBorder="1" applyAlignment="1">
      <alignment horizontal="center" vertical="center"/>
    </xf>
    <xf numFmtId="4" fontId="76" fillId="5" borderId="184" xfId="0" applyNumberFormat="1" applyFont="1" applyFill="1" applyBorder="1" applyAlignment="1">
      <alignment horizontal="center" vertical="center"/>
    </xf>
    <xf numFmtId="4" fontId="76" fillId="5" borderId="185" xfId="0" applyNumberFormat="1" applyFont="1" applyFill="1" applyBorder="1" applyAlignment="1">
      <alignment horizontal="center" vertical="center"/>
    </xf>
    <xf numFmtId="4" fontId="46" fillId="5" borderId="185" xfId="0" applyNumberFormat="1" applyFont="1" applyFill="1" applyBorder="1" applyAlignment="1">
      <alignment horizontal="center" vertical="center" shrinkToFit="1"/>
    </xf>
    <xf numFmtId="4" fontId="46" fillId="5" borderId="186" xfId="0" applyNumberFormat="1" applyFont="1" applyFill="1" applyBorder="1" applyAlignment="1">
      <alignment horizontal="center" vertical="center" shrinkToFit="1"/>
    </xf>
    <xf numFmtId="4" fontId="77" fillId="5" borderId="0" xfId="0" applyNumberFormat="1" applyFont="1" applyFill="1" applyBorder="1" applyAlignment="1">
      <alignment horizontal="center" vertical="center"/>
    </xf>
    <xf numFmtId="4" fontId="53" fillId="5" borderId="54" xfId="0" applyNumberFormat="1" applyFont="1" applyFill="1" applyBorder="1" applyAlignment="1">
      <alignment horizontal="center" vertical="center"/>
    </xf>
    <xf numFmtId="4" fontId="53" fillId="5" borderId="55" xfId="0" applyNumberFormat="1" applyFont="1" applyFill="1" applyBorder="1" applyAlignment="1">
      <alignment horizontal="center" vertical="center"/>
    </xf>
    <xf numFmtId="4" fontId="78" fillId="5" borderId="187" xfId="0" applyNumberFormat="1" applyFont="1" applyFill="1" applyBorder="1" applyAlignment="1">
      <alignment horizontal="center" vertical="center"/>
    </xf>
    <xf numFmtId="4" fontId="78" fillId="5" borderId="188" xfId="0" applyNumberFormat="1" applyFont="1" applyFill="1" applyBorder="1" applyAlignment="1">
      <alignment horizontal="center" vertical="center"/>
    </xf>
    <xf numFmtId="4" fontId="78" fillId="5" borderId="51" xfId="0" applyNumberFormat="1" applyFont="1" applyFill="1" applyBorder="1" applyAlignment="1">
      <alignment horizontal="center" vertical="center"/>
    </xf>
    <xf numFmtId="4" fontId="78" fillId="5" borderId="27" xfId="0" applyNumberFormat="1" applyFont="1" applyFill="1" applyBorder="1" applyAlignment="1">
      <alignment horizontal="center" vertical="center"/>
    </xf>
    <xf numFmtId="4" fontId="48" fillId="5" borderId="27" xfId="0" applyNumberFormat="1" applyFont="1" applyFill="1" applyBorder="1" applyAlignment="1">
      <alignment horizontal="center" vertical="center" shrinkToFit="1"/>
    </xf>
    <xf numFmtId="4" fontId="48" fillId="5" borderId="189" xfId="0" applyNumberFormat="1" applyFont="1" applyFill="1" applyBorder="1" applyAlignment="1">
      <alignment horizontal="center" vertical="center" shrinkToFit="1"/>
    </xf>
    <xf numFmtId="4" fontId="67" fillId="5" borderId="51" xfId="0" applyNumberFormat="1" applyFont="1" applyFill="1" applyBorder="1" applyAlignment="1">
      <alignment horizontal="center" vertical="center"/>
    </xf>
    <xf numFmtId="4" fontId="67" fillId="5" borderId="27" xfId="0" applyNumberFormat="1" applyFont="1" applyFill="1" applyBorder="1" applyAlignment="1">
      <alignment horizontal="center" vertical="center"/>
    </xf>
    <xf numFmtId="4" fontId="67" fillId="5" borderId="188" xfId="0" applyNumberFormat="1" applyFont="1" applyFill="1" applyBorder="1" applyAlignment="1">
      <alignment horizontal="center" vertical="center"/>
    </xf>
    <xf numFmtId="4" fontId="48" fillId="5" borderId="54" xfId="0" applyNumberFormat="1" applyFont="1" applyFill="1" applyBorder="1" applyAlignment="1">
      <alignment horizontal="center" vertical="center" shrinkToFit="1"/>
    </xf>
    <xf numFmtId="4" fontId="48" fillId="5" borderId="55" xfId="0" applyNumberFormat="1" applyFont="1" applyFill="1" applyBorder="1" applyAlignment="1">
      <alignment horizontal="center" vertical="center" shrinkToFit="1"/>
    </xf>
    <xf numFmtId="4" fontId="67" fillId="5" borderId="72" xfId="0" applyNumberFormat="1" applyFont="1" applyFill="1" applyBorder="1" applyAlignment="1">
      <alignment horizontal="center" vertical="center" wrapText="1"/>
    </xf>
    <xf numFmtId="4" fontId="67" fillId="5" borderId="37" xfId="0" applyNumberFormat="1" applyFont="1" applyFill="1" applyBorder="1" applyAlignment="1">
      <alignment horizontal="center" vertical="center" wrapText="1"/>
    </xf>
    <xf numFmtId="4" fontId="67" fillId="5" borderId="175" xfId="0" applyNumberFormat="1" applyFont="1" applyFill="1" applyBorder="1" applyAlignment="1">
      <alignment horizontal="center" vertical="center" wrapText="1"/>
    </xf>
    <xf numFmtId="4" fontId="67" fillId="5" borderId="58" xfId="0" applyNumberFormat="1" applyFont="1" applyFill="1" applyBorder="1" applyAlignment="1">
      <alignment horizontal="center" vertical="center" wrapText="1"/>
    </xf>
    <xf numFmtId="4" fontId="49" fillId="5" borderId="190" xfId="0" applyNumberFormat="1" applyFont="1" applyFill="1" applyBorder="1" applyAlignment="1">
      <alignment horizontal="center" vertical="center" wrapText="1"/>
    </xf>
    <xf numFmtId="4" fontId="49" fillId="5" borderId="128" xfId="0" applyNumberFormat="1" applyFont="1" applyFill="1" applyBorder="1" applyAlignment="1">
      <alignment horizontal="center" vertical="center" wrapText="1"/>
    </xf>
    <xf numFmtId="4" fontId="69" fillId="5" borderId="58" xfId="0" applyNumberFormat="1" applyFont="1" applyFill="1" applyBorder="1" applyAlignment="1">
      <alignment horizontal="center" vertical="center" wrapText="1"/>
    </xf>
    <xf numFmtId="4" fontId="67" fillId="5" borderId="191" xfId="0" applyNumberFormat="1" applyFont="1" applyFill="1" applyBorder="1" applyAlignment="1">
      <alignment horizontal="center" vertical="center" wrapText="1"/>
    </xf>
    <xf numFmtId="4" fontId="67" fillId="5" borderId="70" xfId="0" applyNumberFormat="1" applyFont="1" applyFill="1" applyBorder="1" applyAlignment="1">
      <alignment horizontal="center" vertical="center" wrapText="1"/>
    </xf>
    <xf numFmtId="4" fontId="79" fillId="5" borderId="33" xfId="0" applyNumberFormat="1" applyFont="1" applyFill="1" applyBorder="1" applyAlignment="1">
      <alignment horizontal="center" vertical="center" shrinkToFit="1"/>
    </xf>
    <xf numFmtId="4" fontId="79" fillId="5" borderId="10" xfId="0" applyNumberFormat="1" applyFont="1" applyFill="1" applyBorder="1" applyAlignment="1">
      <alignment horizontal="center" vertical="center" shrinkToFit="1"/>
    </xf>
    <xf numFmtId="4" fontId="80" fillId="5" borderId="192" xfId="0" applyNumberFormat="1" applyFont="1" applyFill="1" applyBorder="1" applyAlignment="1">
      <alignment horizontal="center" vertical="center"/>
    </xf>
    <xf numFmtId="4" fontId="80" fillId="5" borderId="66" xfId="0" applyNumberFormat="1" applyFont="1" applyFill="1" applyBorder="1" applyAlignment="1">
      <alignment horizontal="center" vertical="center"/>
    </xf>
    <xf numFmtId="4" fontId="74" fillId="5" borderId="193" xfId="0" applyNumberFormat="1" applyFont="1" applyFill="1" applyBorder="1" applyAlignment="1">
      <alignment horizontal="center" vertical="center"/>
    </xf>
    <xf numFmtId="4" fontId="74" fillId="5" borderId="66" xfId="0" applyNumberFormat="1" applyFont="1" applyFill="1" applyBorder="1" applyAlignment="1">
      <alignment horizontal="center" vertical="center"/>
    </xf>
    <xf numFmtId="4" fontId="51" fillId="5" borderId="34" xfId="0" applyNumberFormat="1" applyFont="1" applyFill="1" applyBorder="1" applyAlignment="1">
      <alignment horizontal="center" vertical="center" wrapText="1"/>
    </xf>
    <xf numFmtId="4" fontId="57" fillId="5" borderId="30" xfId="0" applyNumberFormat="1" applyFont="1" applyFill="1" applyBorder="1" applyAlignment="1">
      <alignment horizontal="center" vertical="center" wrapText="1"/>
    </xf>
    <xf numFmtId="4" fontId="67" fillId="5" borderId="194" xfId="0" applyNumberFormat="1" applyFont="1" applyFill="1" applyBorder="1" applyAlignment="1">
      <alignment horizontal="center" vertical="center" wrapText="1"/>
    </xf>
    <xf numFmtId="4" fontId="67" fillId="5" borderId="87" xfId="0" applyNumberFormat="1" applyFont="1" applyFill="1" applyBorder="1" applyAlignment="1">
      <alignment horizontal="center" vertical="center" wrapText="1"/>
    </xf>
    <xf numFmtId="4" fontId="84" fillId="5" borderId="33" xfId="0" applyNumberFormat="1" applyFont="1" applyFill="1" applyBorder="1" applyAlignment="1">
      <alignment horizontal="center" vertical="center" wrapText="1"/>
    </xf>
    <xf numFmtId="4" fontId="84" fillId="5" borderId="10" xfId="0" applyNumberFormat="1" applyFont="1" applyFill="1" applyBorder="1" applyAlignment="1">
      <alignment horizontal="center" vertical="center" wrapText="1"/>
    </xf>
    <xf numFmtId="4" fontId="80" fillId="5" borderId="33" xfId="0" applyNumberFormat="1" applyFont="1" applyFill="1" applyBorder="1" applyAlignment="1">
      <alignment horizontal="center" vertical="center"/>
    </xf>
    <xf numFmtId="4" fontId="80" fillId="5" borderId="93" xfId="0" applyNumberFormat="1" applyFont="1" applyFill="1" applyBorder="1" applyAlignment="1">
      <alignment horizontal="center" vertical="center"/>
    </xf>
    <xf numFmtId="4" fontId="51" fillId="5" borderId="33" xfId="0" applyNumberFormat="1" applyFont="1" applyFill="1" applyBorder="1" applyAlignment="1">
      <alignment horizontal="center" vertical="center" wrapText="1"/>
    </xf>
    <xf numFmtId="4" fontId="51" fillId="5" borderId="140" xfId="0" applyNumberFormat="1" applyFont="1" applyFill="1" applyBorder="1" applyAlignment="1">
      <alignment horizontal="center" vertical="center" wrapText="1"/>
    </xf>
    <xf numFmtId="4" fontId="34" fillId="5" borderId="33" xfId="0" applyNumberFormat="1" applyFont="1" applyFill="1" applyBorder="1" applyAlignment="1">
      <alignment horizontal="center" vertical="center"/>
    </xf>
    <xf numFmtId="4" fontId="34" fillId="5" borderId="10" xfId="0" applyNumberFormat="1" applyFont="1" applyFill="1" applyBorder="1" applyAlignment="1">
      <alignment horizontal="center" vertical="center"/>
    </xf>
    <xf numFmtId="4" fontId="62" fillId="5" borderId="195" xfId="0" applyNumberFormat="1" applyFont="1" applyFill="1" applyBorder="1" applyAlignment="1">
      <alignment horizontal="center" vertical="center"/>
    </xf>
    <xf numFmtId="4" fontId="62" fillId="5" borderId="113" xfId="0" applyNumberFormat="1" applyFont="1" applyFill="1" applyBorder="1" applyAlignment="1">
      <alignment horizontal="center" vertical="center"/>
    </xf>
    <xf numFmtId="4" fontId="49" fillId="5" borderId="33" xfId="0" applyNumberFormat="1" applyFont="1" applyFill="1" applyBorder="1" applyAlignment="1">
      <alignment horizontal="center" vertical="center"/>
    </xf>
    <xf numFmtId="4" fontId="49" fillId="5" borderId="10" xfId="0" applyNumberFormat="1" applyFont="1" applyFill="1" applyBorder="1" applyAlignment="1">
      <alignment horizontal="center" vertical="center"/>
    </xf>
    <xf numFmtId="4" fontId="68" fillId="5" borderId="29" xfId="0" applyNumberFormat="1" applyFont="1" applyFill="1" applyBorder="1" applyAlignment="1">
      <alignment horizontal="center" vertical="center" wrapText="1"/>
    </xf>
    <xf numFmtId="4" fontId="85" fillId="5" borderId="30" xfId="0" applyNumberFormat="1" applyFont="1" applyFill="1" applyBorder="1" applyAlignment="1">
      <alignment horizontal="center" vertical="center" wrapText="1"/>
    </xf>
    <xf numFmtId="4" fontId="80" fillId="5" borderId="196" xfId="0" applyNumberFormat="1" applyFont="1" applyFill="1" applyBorder="1" applyAlignment="1">
      <alignment horizontal="center" vertical="center" wrapText="1"/>
    </xf>
    <xf numFmtId="4" fontId="80" fillId="5" borderId="87" xfId="0" applyNumberFormat="1" applyFont="1" applyFill="1" applyBorder="1" applyAlignment="1">
      <alignment horizontal="center" vertical="center" wrapText="1"/>
    </xf>
    <xf numFmtId="4" fontId="76" fillId="5" borderId="91" xfId="0" applyNumberFormat="1" applyFont="1" applyFill="1" applyBorder="1" applyAlignment="1">
      <alignment horizontal="center" vertical="center" wrapText="1"/>
    </xf>
    <xf numFmtId="4" fontId="76" fillId="5" borderId="104" xfId="0" applyNumberFormat="1" applyFont="1" applyFill="1" applyBorder="1" applyAlignment="1">
      <alignment horizontal="center" vertical="center" wrapText="1"/>
    </xf>
    <xf numFmtId="4" fontId="76" fillId="5" borderId="91" xfId="0" applyNumberFormat="1" applyFont="1" applyFill="1" applyBorder="1" applyAlignment="1">
      <alignment horizontal="center" vertical="center" wrapText="1"/>
    </xf>
    <xf numFmtId="4" fontId="76" fillId="5" borderId="104" xfId="0" applyNumberFormat="1" applyFont="1" applyFill="1" applyBorder="1" applyAlignment="1">
      <alignment horizontal="center" vertical="center" wrapText="1"/>
    </xf>
    <xf numFmtId="4" fontId="53" fillId="5" borderId="197" xfId="0" applyNumberFormat="1" applyFont="1" applyFill="1" applyBorder="1" applyAlignment="1">
      <alignment horizontal="center" vertical="center" textRotation="90"/>
    </xf>
    <xf numFmtId="4" fontId="53" fillId="5" borderId="37" xfId="0" applyNumberFormat="1" applyFont="1" applyFill="1" applyBorder="1" applyAlignment="1">
      <alignment horizontal="center" vertical="center" textRotation="90"/>
    </xf>
    <xf numFmtId="4" fontId="53" fillId="5" borderId="59" xfId="0" applyNumberFormat="1" applyFont="1" applyFill="1" applyBorder="1" applyAlignment="1">
      <alignment horizontal="center" vertical="center" textRotation="90"/>
    </xf>
    <xf numFmtId="4" fontId="73" fillId="5" borderId="198" xfId="0" applyNumberFormat="1" applyFont="1" applyFill="1" applyBorder="1" applyAlignment="1">
      <alignment horizontal="center" vertical="center" wrapText="1"/>
    </xf>
    <xf numFmtId="4" fontId="75" fillId="5" borderId="199" xfId="0" applyNumberFormat="1" applyFont="1" applyFill="1" applyBorder="1" applyAlignment="1">
      <alignment horizontal="center" vertical="center" wrapText="1"/>
    </xf>
    <xf numFmtId="4" fontId="75" fillId="5" borderId="200" xfId="0" applyNumberFormat="1" applyFont="1" applyFill="1" applyBorder="1" applyAlignment="1">
      <alignment horizontal="center" vertical="center" wrapText="1"/>
    </xf>
    <xf numFmtId="4" fontId="68" fillId="5" borderId="201" xfId="0" applyNumberFormat="1" applyFont="1" applyFill="1" applyBorder="1" applyAlignment="1">
      <alignment horizontal="center" vertical="center" wrapText="1"/>
    </xf>
    <xf numFmtId="4" fontId="87" fillId="5" borderId="29" xfId="0" applyNumberFormat="1" applyFont="1" applyFill="1" applyBorder="1" applyAlignment="1">
      <alignment horizontal="center" vertical="center" wrapText="1"/>
    </xf>
    <xf numFmtId="4" fontId="87" fillId="5" borderId="30" xfId="0" applyNumberFormat="1" applyFont="1" applyFill="1" applyBorder="1" applyAlignment="1">
      <alignment horizontal="center" vertical="center" wrapText="1"/>
    </xf>
    <xf numFmtId="4" fontId="74" fillId="5" borderId="29" xfId="0" applyNumberFormat="1" applyFont="1" applyFill="1" applyBorder="1" applyAlignment="1">
      <alignment horizontal="center" vertical="center" wrapText="1"/>
    </xf>
    <xf numFmtId="4" fontId="74" fillId="5" borderId="30" xfId="0" applyNumberFormat="1" applyFont="1" applyFill="1" applyBorder="1" applyAlignment="1">
      <alignment horizontal="center" vertical="center" wrapText="1"/>
    </xf>
    <xf numFmtId="4" fontId="73" fillId="5" borderId="15" xfId="0" applyNumberFormat="1" applyFont="1" applyFill="1" applyBorder="1" applyAlignment="1">
      <alignment horizontal="center" vertical="center"/>
    </xf>
    <xf numFmtId="4" fontId="73" fillId="5" borderId="16" xfId="0" applyNumberFormat="1" applyFont="1" applyFill="1" applyBorder="1" applyAlignment="1">
      <alignment horizontal="center" vertical="center"/>
    </xf>
    <xf numFmtId="4" fontId="90" fillId="5" borderId="169" xfId="0" applyNumberFormat="1" applyFont="1" applyFill="1" applyBorder="1" applyAlignment="1">
      <alignment horizontal="center" vertical="center" wrapText="1"/>
    </xf>
    <xf numFmtId="4" fontId="90" fillId="5" borderId="110" xfId="0" applyNumberFormat="1" applyFont="1" applyFill="1" applyBorder="1" applyAlignment="1">
      <alignment horizontal="center" vertical="center" wrapText="1"/>
    </xf>
    <xf numFmtId="4" fontId="80" fillId="5" borderId="202" xfId="0" applyNumberFormat="1" applyFont="1" applyFill="1" applyBorder="1" applyAlignment="1">
      <alignment horizontal="center" vertical="center"/>
    </xf>
    <xf numFmtId="4" fontId="80" fillId="5" borderId="199" xfId="0" applyNumberFormat="1" applyFont="1" applyFill="1" applyBorder="1" applyAlignment="1">
      <alignment horizontal="center" vertical="center"/>
    </xf>
    <xf numFmtId="4" fontId="74" fillId="5" borderId="202" xfId="0" applyNumberFormat="1" applyFont="1" applyFill="1" applyBorder="1" applyAlignment="1">
      <alignment horizontal="center" vertical="center" wrapText="1"/>
    </xf>
    <xf numFmtId="4" fontId="74" fillId="5" borderId="90" xfId="0" applyNumberFormat="1" applyFont="1" applyFill="1" applyBorder="1" applyAlignment="1">
      <alignment horizontal="center" vertical="center" wrapText="1"/>
    </xf>
    <xf numFmtId="4" fontId="51" fillId="5" borderId="157" xfId="0" applyNumberFormat="1" applyFont="1" applyFill="1" applyBorder="1" applyAlignment="1">
      <alignment horizontal="center" vertical="center"/>
    </xf>
    <xf numFmtId="4" fontId="51" fillId="5" borderId="203" xfId="0" applyNumberFormat="1" applyFont="1" applyFill="1" applyBorder="1" applyAlignment="1">
      <alignment horizontal="center" vertical="center"/>
    </xf>
    <xf numFmtId="4" fontId="74" fillId="5" borderId="125" xfId="0" applyNumberFormat="1" applyFont="1" applyFill="1" applyBorder="1" applyAlignment="1">
      <alignment horizontal="center" vertical="center" wrapText="1"/>
    </xf>
    <xf numFmtId="4" fontId="74" fillId="5" borderId="121" xfId="0" applyNumberFormat="1" applyFont="1" applyFill="1" applyBorder="1" applyAlignment="1">
      <alignment horizontal="center" vertical="center" wrapText="1"/>
    </xf>
    <xf numFmtId="4" fontId="74" fillId="5" borderId="167" xfId="0" applyNumberFormat="1" applyFont="1" applyFill="1" applyBorder="1" applyAlignment="1">
      <alignment horizontal="center" vertical="center" wrapText="1"/>
    </xf>
    <xf numFmtId="4" fontId="50" fillId="5" borderId="204" xfId="0" applyNumberFormat="1" applyFont="1" applyFill="1" applyBorder="1" applyAlignment="1">
      <alignment horizontal="center" vertical="center" wrapText="1" shrinkToFit="1"/>
    </xf>
    <xf numFmtId="4" fontId="50" fillId="5" borderId="205" xfId="0" applyNumberFormat="1" applyFont="1" applyFill="1" applyBorder="1" applyAlignment="1">
      <alignment horizontal="center" vertical="center" wrapText="1" shrinkToFit="1"/>
    </xf>
    <xf numFmtId="4" fontId="51" fillId="5" borderId="32" xfId="0" applyNumberFormat="1" applyFont="1" applyFill="1" applyBorder="1" applyAlignment="1">
      <alignment horizontal="center" vertical="center" wrapText="1"/>
    </xf>
    <xf numFmtId="4" fontId="51" fillId="5" borderId="9" xfId="0" applyNumberFormat="1" applyFont="1" applyFill="1" applyBorder="1" applyAlignment="1">
      <alignment horizontal="center" vertical="center" wrapText="1"/>
    </xf>
    <xf numFmtId="4" fontId="74" fillId="5" borderId="187" xfId="0" applyNumberFormat="1" applyFont="1" applyFill="1" applyBorder="1" applyAlignment="1">
      <alignment horizontal="center" vertical="center"/>
    </xf>
    <xf numFmtId="4" fontId="74" fillId="5" borderId="27" xfId="0" applyNumberFormat="1" applyFont="1" applyFill="1" applyBorder="1" applyAlignment="1">
      <alignment horizontal="center" vertical="center"/>
    </xf>
    <xf numFmtId="4" fontId="50" fillId="5" borderId="206" xfId="0" applyNumberFormat="1" applyFont="1" applyFill="1" applyBorder="1" applyAlignment="1">
      <alignment horizontal="center" vertical="center"/>
    </xf>
    <xf numFmtId="4" fontId="50" fillId="5" borderId="106" xfId="0" applyNumberFormat="1" applyFont="1" applyFill="1" applyBorder="1" applyAlignment="1">
      <alignment horizontal="center" vertical="center"/>
    </xf>
    <xf numFmtId="4" fontId="43" fillId="5" borderId="207" xfId="0" applyNumberFormat="1" applyFont="1" applyFill="1" applyBorder="1" applyAlignment="1">
      <alignment horizontal="center" vertical="center" wrapText="1"/>
    </xf>
    <xf numFmtId="4" fontId="43" fillId="5" borderId="104" xfId="0" applyNumberFormat="1" applyFont="1" applyFill="1" applyBorder="1" applyAlignment="1">
      <alignment horizontal="center" vertical="center" wrapText="1"/>
    </xf>
    <xf numFmtId="2" fontId="49" fillId="5" borderId="33" xfId="0" applyNumberFormat="1" applyFont="1" applyFill="1" applyBorder="1" applyAlignment="1">
      <alignment horizontal="center" vertical="center"/>
    </xf>
    <xf numFmtId="2" fontId="49" fillId="5" borderId="0" xfId="0" applyNumberFormat="1" applyFont="1" applyFill="1" applyBorder="1" applyAlignment="1">
      <alignment horizontal="center" vertical="center"/>
    </xf>
    <xf numFmtId="0" fontId="49" fillId="5" borderId="208" xfId="0" applyFont="1" applyFill="1" applyBorder="1" applyAlignment="1">
      <alignment horizontal="center" vertical="center"/>
    </xf>
    <xf numFmtId="0" fontId="49" fillId="5" borderId="12" xfId="0" applyFont="1" applyFill="1" applyBorder="1" applyAlignment="1">
      <alignment horizontal="center" vertical="center"/>
    </xf>
    <xf numFmtId="4" fontId="48" fillId="5" borderId="33" xfId="0" applyNumberFormat="1" applyFont="1" applyFill="1" applyBorder="1" applyAlignment="1">
      <alignment horizontal="center" vertical="center"/>
    </xf>
    <xf numFmtId="4" fontId="48" fillId="5" borderId="10" xfId="0" applyNumberFormat="1" applyFont="1" applyFill="1" applyBorder="1" applyAlignment="1">
      <alignment horizontal="center" vertical="center"/>
    </xf>
    <xf numFmtId="4" fontId="83" fillId="5" borderId="29" xfId="0" applyNumberFormat="1" applyFont="1" applyFill="1" applyBorder="1" applyAlignment="1">
      <alignment horizontal="center" vertical="center" wrapText="1"/>
    </xf>
    <xf numFmtId="4" fontId="83" fillId="5" borderId="30" xfId="0" applyNumberFormat="1" applyFont="1" applyFill="1" applyBorder="1" applyAlignment="1">
      <alignment horizontal="center" vertical="center" wrapText="1"/>
    </xf>
    <xf numFmtId="4" fontId="75" fillId="5" borderId="125" xfId="0" applyNumberFormat="1" applyFont="1" applyFill="1" applyBorder="1" applyAlignment="1">
      <alignment horizontal="center" vertical="center" wrapText="1"/>
    </xf>
    <xf numFmtId="4" fontId="75" fillId="5" borderId="121" xfId="0" applyNumberFormat="1" applyFont="1" applyFill="1" applyBorder="1" applyAlignment="1">
      <alignment horizontal="center" vertical="center" wrapText="1"/>
    </xf>
    <xf numFmtId="4" fontId="75" fillId="5" borderId="167" xfId="0" applyNumberFormat="1" applyFont="1" applyFill="1" applyBorder="1" applyAlignment="1">
      <alignment horizontal="center" vertical="center" wrapText="1"/>
    </xf>
    <xf numFmtId="2" fontId="49" fillId="5" borderId="10" xfId="0" applyNumberFormat="1" applyFont="1" applyFill="1" applyBorder="1" applyAlignment="1">
      <alignment horizontal="center" vertical="center"/>
    </xf>
    <xf numFmtId="0" fontId="49" fillId="5" borderId="13" xfId="0" applyFont="1" applyFill="1" applyBorder="1" applyAlignment="1">
      <alignment horizontal="center" vertical="center"/>
    </xf>
    <xf numFmtId="4" fontId="59" fillId="5" borderId="209" xfId="0" applyNumberFormat="1" applyFont="1" applyFill="1" applyBorder="1" applyAlignment="1">
      <alignment horizontal="center" vertical="center" textRotation="90" wrapText="1"/>
    </xf>
    <xf numFmtId="4" fontId="59" fillId="5" borderId="58" xfId="0" applyNumberFormat="1" applyFont="1" applyFill="1" applyBorder="1" applyAlignment="1">
      <alignment horizontal="center" vertical="center" textRotation="90" wrapText="1"/>
    </xf>
    <xf numFmtId="4" fontId="69" fillId="5" borderId="18" xfId="0" applyNumberFormat="1" applyFont="1" applyFill="1" applyBorder="1" applyAlignment="1">
      <alignment horizontal="center" vertical="center"/>
    </xf>
    <xf numFmtId="4" fontId="48" fillId="5" borderId="17" xfId="0" applyNumberFormat="1" applyFont="1" applyFill="1" applyBorder="1" applyAlignment="1">
      <alignment horizontal="center" vertical="center"/>
    </xf>
    <xf numFmtId="4" fontId="48" fillId="5" borderId="157" xfId="0" applyNumberFormat="1" applyFont="1" applyFill="1" applyBorder="1" applyAlignment="1">
      <alignment horizontal="center" vertical="center"/>
    </xf>
    <xf numFmtId="4" fontId="65" fillId="5" borderId="0" xfId="0" applyNumberFormat="1" applyFont="1" applyFill="1" applyBorder="1" applyAlignment="1">
      <alignment horizontal="center" vertical="center" shrinkToFit="1"/>
    </xf>
    <xf numFmtId="4" fontId="67" fillId="5" borderId="36" xfId="0" applyNumberFormat="1" applyFont="1" applyFill="1" applyBorder="1" applyAlignment="1">
      <alignment horizontal="center" vertical="center" wrapText="1" shrinkToFit="1"/>
    </xf>
    <xf numFmtId="4" fontId="67" fillId="5" borderId="30" xfId="0" applyNumberFormat="1" applyFont="1" applyFill="1" applyBorder="1" applyAlignment="1">
      <alignment horizontal="center" vertical="center" wrapText="1" shrinkToFit="1"/>
    </xf>
    <xf numFmtId="4" fontId="67" fillId="5" borderId="182" xfId="0" applyNumberFormat="1" applyFont="1" applyFill="1" applyBorder="1" applyAlignment="1">
      <alignment horizontal="center" vertical="center" wrapText="1"/>
    </xf>
    <xf numFmtId="4" fontId="67" fillId="5" borderId="56" xfId="0" applyNumberFormat="1" applyFont="1" applyFill="1" applyBorder="1" applyAlignment="1">
      <alignment horizontal="center" vertical="center" wrapText="1"/>
    </xf>
    <xf numFmtId="4" fontId="85" fillId="5" borderId="210" xfId="0" applyNumberFormat="1" applyFont="1" applyFill="1" applyBorder="1" applyAlignment="1">
      <alignment horizontal="center" vertical="center" wrapText="1"/>
    </xf>
    <xf numFmtId="4" fontId="85" fillId="5" borderId="211" xfId="0" applyNumberFormat="1" applyFont="1" applyFill="1" applyBorder="1" applyAlignment="1">
      <alignment horizontal="center" vertical="center" wrapText="1"/>
    </xf>
    <xf numFmtId="4" fontId="59" fillId="5" borderId="0" xfId="0" applyNumberFormat="1" applyFont="1" applyFill="1" applyBorder="1" applyAlignment="1">
      <alignment horizontal="center" vertical="center" shrinkToFit="1"/>
    </xf>
    <xf numFmtId="4" fontId="73" fillId="5" borderId="38" xfId="0" applyNumberFormat="1" applyFont="1" applyFill="1" applyBorder="1" applyAlignment="1">
      <alignment horizontal="center" vertical="center"/>
    </xf>
    <xf numFmtId="4" fontId="49" fillId="5" borderId="121" xfId="0" applyNumberFormat="1" applyFont="1" applyFill="1" applyBorder="1" applyAlignment="1">
      <alignment horizontal="center" vertical="center"/>
    </xf>
    <xf numFmtId="4" fontId="49" fillId="5" borderId="55" xfId="0" applyNumberFormat="1" applyFont="1" applyFill="1" applyBorder="1" applyAlignment="1">
      <alignment horizontal="center" vertical="center"/>
    </xf>
    <xf numFmtId="4" fontId="48" fillId="5" borderId="212" xfId="0" applyNumberFormat="1" applyFont="1" applyFill="1" applyBorder="1" applyAlignment="1">
      <alignment horizontal="center" vertical="center" shrinkToFit="1"/>
    </xf>
    <xf numFmtId="4" fontId="48" fillId="5" borderId="94" xfId="0" applyNumberFormat="1" applyFont="1" applyFill="1" applyBorder="1" applyAlignment="1">
      <alignment horizontal="center" vertical="center" shrinkToFit="1"/>
    </xf>
    <xf numFmtId="4" fontId="72" fillId="5" borderId="58" xfId="0" applyNumberFormat="1" applyFont="1" applyFill="1" applyBorder="1" applyAlignment="1">
      <alignment horizontal="center" vertical="center" wrapText="1"/>
    </xf>
    <xf numFmtId="4" fontId="49" fillId="5" borderId="48" xfId="0" applyNumberFormat="1" applyFont="1" applyFill="1" applyBorder="1" applyAlignment="1">
      <alignment horizontal="center" vertical="center" wrapText="1"/>
    </xf>
    <xf numFmtId="4" fontId="92" fillId="5" borderId="33" xfId="0" applyNumberFormat="1" applyFont="1" applyFill="1" applyBorder="1" applyAlignment="1">
      <alignment horizontal="center" vertical="center"/>
    </xf>
    <xf numFmtId="4" fontId="92" fillId="5" borderId="0" xfId="0" applyNumberFormat="1" applyFont="1" applyFill="1" applyBorder="1" applyAlignment="1">
      <alignment horizontal="center" vertical="center"/>
    </xf>
    <xf numFmtId="4" fontId="70" fillId="5" borderId="192" xfId="0" applyNumberFormat="1" applyFont="1" applyFill="1" applyBorder="1" applyAlignment="1">
      <alignment horizontal="center" vertical="center"/>
    </xf>
    <xf numFmtId="4" fontId="70" fillId="5" borderId="66" xfId="0" applyNumberFormat="1" applyFont="1" applyFill="1" applyBorder="1" applyAlignment="1">
      <alignment horizontal="center" vertical="center"/>
    </xf>
    <xf numFmtId="4" fontId="68" fillId="5" borderId="193" xfId="0" applyNumberFormat="1" applyFont="1" applyFill="1" applyBorder="1" applyAlignment="1">
      <alignment horizontal="center" vertical="center"/>
    </xf>
    <xf numFmtId="4" fontId="68" fillId="5" borderId="66" xfId="0" applyNumberFormat="1" applyFont="1" applyFill="1" applyBorder="1" applyAlignment="1">
      <alignment horizontal="center" vertical="center"/>
    </xf>
    <xf numFmtId="4" fontId="75" fillId="5" borderId="29" xfId="0" applyNumberFormat="1" applyFont="1" applyFill="1" applyBorder="1" applyAlignment="1">
      <alignment horizontal="center" vertical="center" wrapText="1"/>
    </xf>
    <xf numFmtId="4" fontId="74" fillId="5" borderId="30" xfId="0" applyNumberFormat="1" applyFont="1" applyFill="1" applyBorder="1" applyAlignment="1">
      <alignment horizontal="center" vertical="center" wrapText="1"/>
    </xf>
    <xf numFmtId="4" fontId="77" fillId="5" borderId="196" xfId="0" applyNumberFormat="1" applyFont="1" applyFill="1" applyBorder="1" applyAlignment="1">
      <alignment horizontal="center" vertical="center" wrapText="1"/>
    </xf>
    <xf numFmtId="4" fontId="77" fillId="5" borderId="87" xfId="0" applyNumberFormat="1" applyFont="1" applyFill="1" applyBorder="1" applyAlignment="1">
      <alignment horizontal="center" vertical="center" wrapText="1"/>
    </xf>
    <xf numFmtId="4" fontId="92" fillId="5" borderId="33" xfId="0" applyNumberFormat="1" applyFont="1" applyFill="1" applyBorder="1" applyAlignment="1">
      <alignment horizontal="center" vertical="center" wrapText="1"/>
    </xf>
    <xf numFmtId="4" fontId="92" fillId="5" borderId="10" xfId="0" applyNumberFormat="1" applyFont="1" applyFill="1" applyBorder="1" applyAlignment="1">
      <alignment horizontal="center" vertical="center" wrapText="1"/>
    </xf>
    <xf numFmtId="4" fontId="70" fillId="5" borderId="91" xfId="0" applyNumberFormat="1" applyFont="1" applyFill="1" applyBorder="1" applyAlignment="1">
      <alignment horizontal="center" vertical="center" wrapText="1"/>
    </xf>
    <xf numFmtId="4" fontId="70" fillId="5" borderId="104" xfId="0" applyNumberFormat="1" applyFont="1" applyFill="1" applyBorder="1" applyAlignment="1">
      <alignment horizontal="center" vertical="center" wrapText="1"/>
    </xf>
    <xf numFmtId="4" fontId="66" fillId="5" borderId="198" xfId="0" applyNumberFormat="1" applyFont="1" applyFill="1" applyBorder="1" applyAlignment="1">
      <alignment horizontal="center" vertical="center" wrapText="1"/>
    </xf>
    <xf numFmtId="4" fontId="66" fillId="5" borderId="30" xfId="0" applyNumberFormat="1" applyFont="1" applyFill="1" applyBorder="1" applyAlignment="1">
      <alignment horizontal="center" vertical="center" wrapText="1"/>
    </xf>
    <xf numFmtId="4" fontId="49" fillId="5" borderId="0" xfId="0" applyNumberFormat="1" applyFont="1" applyFill="1" applyBorder="1" applyAlignment="1">
      <alignment horizontal="center" vertical="center"/>
    </xf>
    <xf numFmtId="4" fontId="73" fillId="5" borderId="29" xfId="0" applyNumberFormat="1" applyFont="1" applyFill="1" applyBorder="1" applyAlignment="1">
      <alignment horizontal="center" vertical="center" wrapText="1"/>
    </xf>
    <xf numFmtId="4" fontId="67" fillId="5" borderId="15" xfId="0" applyNumberFormat="1" applyFont="1" applyFill="1" applyBorder="1" applyAlignment="1">
      <alignment horizontal="center" vertical="center"/>
    </xf>
    <xf numFmtId="4" fontId="67" fillId="5" borderId="16" xfId="0" applyNumberFormat="1" applyFont="1" applyFill="1" applyBorder="1" applyAlignment="1">
      <alignment horizontal="center" vertical="center"/>
    </xf>
    <xf numFmtId="0" fontId="59" fillId="5" borderId="58" xfId="0" applyNumberFormat="1" applyFont="1" applyFill="1" applyBorder="1" applyAlignment="1">
      <alignment horizontal="center" vertical="center" textRotation="90" wrapText="1"/>
    </xf>
    <xf numFmtId="0" fontId="59" fillId="5" borderId="176" xfId="0" applyNumberFormat="1" applyFont="1" applyFill="1" applyBorder="1" applyAlignment="1">
      <alignment horizontal="center" vertical="center" textRotation="90" wrapText="1"/>
    </xf>
    <xf numFmtId="4" fontId="77" fillId="5" borderId="169" xfId="0" applyNumberFormat="1" applyFont="1" applyFill="1" applyBorder="1" applyAlignment="1">
      <alignment horizontal="center" vertical="center" wrapText="1"/>
    </xf>
    <xf numFmtId="4" fontId="77" fillId="5" borderId="110" xfId="0" applyNumberFormat="1" applyFont="1" applyFill="1" applyBorder="1" applyAlignment="1">
      <alignment horizontal="center" vertical="center" wrapText="1"/>
    </xf>
    <xf numFmtId="4" fontId="76" fillId="5" borderId="202" xfId="0" applyNumberFormat="1" applyFont="1" applyFill="1" applyBorder="1" applyAlignment="1">
      <alignment horizontal="center" vertical="center"/>
    </xf>
    <xf numFmtId="4" fontId="76" fillId="5" borderId="199" xfId="0" applyNumberFormat="1" applyFont="1" applyFill="1" applyBorder="1" applyAlignment="1">
      <alignment horizontal="center" vertical="center"/>
    </xf>
    <xf numFmtId="4" fontId="67" fillId="5" borderId="202" xfId="0" applyNumberFormat="1" applyFont="1" applyFill="1" applyBorder="1" applyAlignment="1">
      <alignment horizontal="center" vertical="center" wrapText="1"/>
    </xf>
    <xf numFmtId="4" fontId="67" fillId="5" borderId="90" xfId="0" applyNumberFormat="1" applyFont="1" applyFill="1" applyBorder="1" applyAlignment="1">
      <alignment horizontal="center" vertical="center" wrapText="1"/>
    </xf>
    <xf numFmtId="4" fontId="49" fillId="5" borderId="157" xfId="0" applyNumberFormat="1" applyFont="1" applyFill="1" applyBorder="1" applyAlignment="1">
      <alignment horizontal="center" vertical="center" wrapText="1"/>
    </xf>
    <xf numFmtId="4" fontId="49" fillId="5" borderId="203" xfId="0" applyNumberFormat="1" applyFont="1" applyFill="1" applyBorder="1" applyAlignment="1">
      <alignment horizontal="center" vertical="center" wrapText="1"/>
    </xf>
    <xf numFmtId="4" fontId="68" fillId="5" borderId="125" xfId="0" applyNumberFormat="1" applyFont="1" applyFill="1" applyBorder="1" applyAlignment="1">
      <alignment horizontal="center" vertical="center" wrapText="1"/>
    </xf>
    <xf numFmtId="4" fontId="68" fillId="5" borderId="121" xfId="0" applyNumberFormat="1" applyFont="1" applyFill="1" applyBorder="1" applyAlignment="1">
      <alignment horizontal="center" vertical="center" wrapText="1"/>
    </xf>
    <xf numFmtId="4" fontId="68" fillId="5" borderId="167" xfId="0" applyNumberFormat="1" applyFont="1" applyFill="1" applyBorder="1" applyAlignment="1">
      <alignment horizontal="center" vertical="center" wrapText="1"/>
    </xf>
    <xf numFmtId="4" fontId="48" fillId="5" borderId="174" xfId="0" applyNumberFormat="1" applyFont="1" applyFill="1" applyBorder="1" applyAlignment="1">
      <alignment horizontal="center" vertical="center" wrapText="1"/>
    </xf>
    <xf numFmtId="4" fontId="48" fillId="5" borderId="18" xfId="0" applyNumberFormat="1" applyFont="1" applyFill="1" applyBorder="1" applyAlignment="1">
      <alignment horizontal="center" vertical="center" wrapText="1"/>
    </xf>
    <xf numFmtId="4" fontId="48" fillId="5" borderId="33" xfId="0" applyNumberFormat="1" applyFont="1" applyFill="1" applyBorder="1" applyAlignment="1">
      <alignment horizontal="center" vertical="center" wrapText="1"/>
    </xf>
    <xf numFmtId="4" fontId="48" fillId="5" borderId="10" xfId="0" applyNumberFormat="1" applyFont="1" applyFill="1" applyBorder="1" applyAlignment="1">
      <alignment horizontal="center" vertical="center" wrapText="1"/>
    </xf>
    <xf numFmtId="4" fontId="44" fillId="5" borderId="204" xfId="0" applyNumberFormat="1" applyFont="1" applyFill="1" applyBorder="1" applyAlignment="1">
      <alignment horizontal="center" vertical="center" wrapText="1" shrinkToFit="1"/>
    </xf>
    <xf numFmtId="4" fontId="44" fillId="5" borderId="205" xfId="0" applyNumberFormat="1" applyFont="1" applyFill="1" applyBorder="1" applyAlignment="1">
      <alignment horizontal="center" vertical="center" wrapText="1" shrinkToFit="1"/>
    </xf>
    <xf numFmtId="4" fontId="51" fillId="5" borderId="116" xfId="0" applyNumberFormat="1" applyFont="1" applyFill="1" applyBorder="1" applyAlignment="1">
      <alignment horizontal="center" vertical="center" wrapText="1"/>
    </xf>
    <xf numFmtId="4" fontId="51" fillId="5" borderId="211" xfId="0" applyNumberFormat="1" applyFont="1" applyFill="1" applyBorder="1" applyAlignment="1">
      <alignment horizontal="center" vertical="center" wrapText="1"/>
    </xf>
    <xf numFmtId="4" fontId="67" fillId="5" borderId="187" xfId="0" applyNumberFormat="1" applyFont="1" applyFill="1" applyBorder="1" applyAlignment="1">
      <alignment horizontal="center" vertical="center"/>
    </xf>
    <xf numFmtId="4" fontId="62" fillId="5" borderId="208" xfId="0" applyNumberFormat="1" applyFont="1" applyFill="1" applyBorder="1" applyAlignment="1">
      <alignment horizontal="center" vertical="center"/>
    </xf>
    <xf numFmtId="4" fontId="62" fillId="5" borderId="13" xfId="0" applyNumberFormat="1" applyFont="1" applyFill="1" applyBorder="1" applyAlignment="1">
      <alignment horizontal="center" vertical="center"/>
    </xf>
    <xf numFmtId="4" fontId="49" fillId="5" borderId="206" xfId="0" applyNumberFormat="1" applyFont="1" applyFill="1" applyBorder="1" applyAlignment="1">
      <alignment horizontal="center" vertical="center"/>
    </xf>
    <xf numFmtId="4" fontId="49" fillId="5" borderId="106" xfId="0" applyNumberFormat="1" applyFont="1" applyFill="1" applyBorder="1" applyAlignment="1">
      <alignment horizontal="center" vertical="center"/>
    </xf>
    <xf numFmtId="4" fontId="49" fillId="5" borderId="207" xfId="0" applyNumberFormat="1" applyFont="1" applyFill="1" applyBorder="1" applyAlignment="1">
      <alignment horizontal="center" vertical="center" wrapText="1"/>
    </xf>
    <xf numFmtId="4" fontId="49" fillId="5" borderId="104" xfId="0" applyNumberFormat="1" applyFont="1" applyFill="1" applyBorder="1" applyAlignment="1">
      <alignment horizontal="center" vertical="center" wrapText="1"/>
    </xf>
    <xf numFmtId="4" fontId="79" fillId="5" borderId="160" xfId="0" applyNumberFormat="1" applyFont="1" applyFill="1" applyBorder="1" applyAlignment="1">
      <alignment horizontal="center" vertical="center"/>
    </xf>
    <xf numFmtId="4" fontId="79" fillId="5" borderId="161" xfId="0" applyNumberFormat="1" applyFont="1" applyFill="1" applyBorder="1" applyAlignment="1">
      <alignment horizontal="center" vertical="center"/>
    </xf>
    <xf numFmtId="4" fontId="95" fillId="5" borderId="161" xfId="0" applyNumberFormat="1" applyFont="1" applyFill="1" applyBorder="1" applyAlignment="1">
      <alignment horizontal="left" vertical="center"/>
    </xf>
    <xf numFmtId="4" fontId="95" fillId="5" borderId="162" xfId="0" applyNumberFormat="1" applyFont="1" applyFill="1" applyBorder="1" applyAlignment="1">
      <alignment horizontal="left" vertical="center"/>
    </xf>
    <xf numFmtId="0" fontId="46" fillId="5" borderId="213" xfId="0" applyNumberFormat="1" applyFont="1" applyFill="1" applyBorder="1" applyAlignment="1">
      <alignment horizontal="center" vertical="center" textRotation="90" wrapText="1" readingOrder="1"/>
    </xf>
    <xf numFmtId="0" fontId="46" fillId="5" borderId="214" xfId="0" applyNumberFormat="1" applyFont="1" applyFill="1" applyBorder="1" applyAlignment="1">
      <alignment horizontal="center" vertical="center" textRotation="90" wrapText="1" readingOrder="1"/>
    </xf>
    <xf numFmtId="0" fontId="46" fillId="5" borderId="215" xfId="0" applyNumberFormat="1" applyFont="1" applyFill="1" applyBorder="1" applyAlignment="1">
      <alignment horizontal="center" vertical="center" textRotation="90" wrapText="1" readingOrder="1"/>
    </xf>
    <xf numFmtId="4" fontId="59" fillId="5" borderId="216" xfId="0" applyNumberFormat="1" applyFont="1" applyFill="1" applyBorder="1" applyAlignment="1">
      <alignment horizontal="center" vertical="center"/>
    </xf>
    <xf numFmtId="4" fontId="59" fillId="5" borderId="49" xfId="0" applyNumberFormat="1" applyFont="1" applyFill="1" applyBorder="1" applyAlignment="1">
      <alignment horizontal="center" vertical="center"/>
    </xf>
    <xf numFmtId="173" fontId="65" fillId="5" borderId="49" xfId="0" applyNumberFormat="1" applyFont="1" applyFill="1" applyBorder="1" applyAlignment="1">
      <alignment horizontal="center" vertical="center"/>
    </xf>
    <xf numFmtId="4" fontId="65" fillId="5" borderId="49" xfId="0" applyNumberFormat="1" applyFont="1" applyFill="1" applyBorder="1" applyAlignment="1">
      <alignment horizontal="center" vertical="center"/>
    </xf>
    <xf numFmtId="0" fontId="65" fillId="5" borderId="217" xfId="0" applyNumberFormat="1" applyFont="1" applyFill="1" applyBorder="1" applyAlignment="1">
      <alignment horizontal="center" vertical="center"/>
    </xf>
    <xf numFmtId="4" fontId="46" fillId="5" borderId="191" xfId="0" applyNumberFormat="1" applyFont="1" applyFill="1" applyBorder="1" applyAlignment="1">
      <alignment horizontal="center" vertical="center" wrapText="1"/>
    </xf>
    <xf numFmtId="4" fontId="48" fillId="5" borderId="69" xfId="0" applyNumberFormat="1" applyFont="1" applyFill="1" applyBorder="1" applyAlignment="1">
      <alignment horizontal="center" vertical="center" wrapText="1"/>
    </xf>
    <xf numFmtId="4" fontId="48" fillId="5" borderId="132" xfId="0" applyNumberFormat="1" applyFont="1" applyFill="1" applyBorder="1" applyAlignment="1">
      <alignment horizontal="center" vertical="center" wrapText="1"/>
    </xf>
    <xf numFmtId="4" fontId="48" fillId="5" borderId="129" xfId="0" applyNumberFormat="1" applyFont="1" applyFill="1" applyBorder="1" applyAlignment="1">
      <alignment horizontal="center" vertical="center" wrapText="1"/>
    </xf>
    <xf numFmtId="4" fontId="95" fillId="5" borderId="160" xfId="0" applyNumberFormat="1" applyFont="1" applyFill="1" applyBorder="1" applyAlignment="1">
      <alignment horizontal="center" vertical="center" wrapText="1"/>
    </xf>
    <xf numFmtId="4" fontId="95" fillId="5" borderId="161" xfId="0" applyNumberFormat="1" applyFont="1" applyFill="1" applyBorder="1" applyAlignment="1">
      <alignment horizontal="center" vertical="center" wrapText="1"/>
    </xf>
    <xf numFmtId="4" fontId="95" fillId="5" borderId="162" xfId="0" applyNumberFormat="1" applyFont="1" applyFill="1" applyBorder="1" applyAlignment="1">
      <alignment horizontal="center" vertical="center" wrapText="1"/>
    </xf>
    <xf numFmtId="4" fontId="59" fillId="5" borderId="160" xfId="0" applyNumberFormat="1" applyFont="1" applyFill="1" applyBorder="1" applyAlignment="1">
      <alignment horizontal="center" vertical="center"/>
    </xf>
    <xf numFmtId="4" fontId="59" fillId="5" borderId="161" xfId="0" applyNumberFormat="1" applyFont="1" applyFill="1" applyBorder="1" applyAlignment="1">
      <alignment horizontal="center" vertical="center"/>
    </xf>
    <xf numFmtId="4" fontId="65" fillId="5" borderId="161" xfId="0" applyNumberFormat="1" applyFont="1" applyFill="1" applyBorder="1" applyAlignment="1">
      <alignment horizontal="center" vertical="center"/>
    </xf>
    <xf numFmtId="0" fontId="65" fillId="5" borderId="162" xfId="0" applyNumberFormat="1" applyFont="1" applyFill="1" applyBorder="1" applyAlignment="1">
      <alignment horizontal="center" vertical="center"/>
    </xf>
    <xf numFmtId="4" fontId="96" fillId="5" borderId="0" xfId="0" applyNumberFormat="1" applyFont="1" applyFill="1" applyBorder="1" applyAlignment="1">
      <alignment horizontal="right" vertical="center" wrapText="1"/>
    </xf>
    <xf numFmtId="4" fontId="96" fillId="5" borderId="128" xfId="0" applyNumberFormat="1" applyFont="1" applyFill="1" applyBorder="1" applyAlignment="1">
      <alignment horizontal="right" vertical="center" wrapText="1"/>
    </xf>
    <xf numFmtId="4" fontId="97" fillId="5" borderId="0" xfId="0" applyNumberFormat="1" applyFont="1" applyFill="1" applyBorder="1" applyAlignment="1">
      <alignment horizontal="left" vertical="center" wrapText="1"/>
    </xf>
    <xf numFmtId="4" fontId="97" fillId="5" borderId="140" xfId="0" applyNumberFormat="1" applyFont="1" applyFill="1" applyBorder="1" applyAlignment="1">
      <alignment horizontal="left" vertical="center" wrapText="1"/>
    </xf>
    <xf numFmtId="4" fontId="48" fillId="5" borderId="0" xfId="0" applyNumberFormat="1" applyFont="1" applyFill="1" applyBorder="1" applyAlignment="1">
      <alignment horizontal="center" vertical="center" wrapText="1"/>
    </xf>
    <xf numFmtId="4" fontId="62" fillId="5" borderId="12" xfId="0" applyNumberFormat="1" applyFont="1" applyFill="1" applyBorder="1" applyAlignment="1">
      <alignment horizontal="center" vertical="center"/>
    </xf>
    <xf numFmtId="4" fontId="62" fillId="5" borderId="13" xfId="0" applyNumberFormat="1" applyFont="1" applyFill="1" applyBorder="1" applyAlignment="1">
      <alignment horizontal="center" vertical="center"/>
    </xf>
    <xf numFmtId="4" fontId="62" fillId="5" borderId="157" xfId="0" applyNumberFormat="1" applyFont="1" applyFill="1" applyBorder="1" applyAlignment="1">
      <alignment horizontal="center" vertical="center"/>
    </xf>
    <xf numFmtId="4" fontId="62" fillId="5" borderId="18" xfId="0" applyNumberFormat="1" applyFont="1" applyFill="1" applyBorder="1" applyAlignment="1">
      <alignment horizontal="center" vertical="center"/>
    </xf>
    <xf numFmtId="4" fontId="45" fillId="5" borderId="218" xfId="0" applyNumberFormat="1" applyFont="1" applyFill="1" applyBorder="1" applyAlignment="1">
      <alignment horizontal="center" vertical="center"/>
    </xf>
    <xf numFmtId="4" fontId="45" fillId="5" borderId="185" xfId="0" applyNumberFormat="1" applyFont="1" applyFill="1" applyBorder="1" applyAlignment="1">
      <alignment horizontal="center" vertical="center"/>
    </xf>
    <xf numFmtId="4" fontId="45" fillId="5" borderId="186" xfId="0" applyNumberFormat="1" applyFont="1" applyFill="1" applyBorder="1" applyAlignment="1">
      <alignment horizontal="center" vertical="center"/>
    </xf>
    <xf numFmtId="4" fontId="46" fillId="5" borderId="7" xfId="0" applyNumberFormat="1" applyFont="1" applyFill="1" applyBorder="1" applyAlignment="1">
      <alignment horizontal="center" vertical="center"/>
    </xf>
    <xf numFmtId="4" fontId="46" fillId="5" borderId="16" xfId="0" applyNumberFormat="1" applyFont="1" applyFill="1" applyBorder="1" applyAlignment="1">
      <alignment horizontal="center" vertical="center"/>
    </xf>
    <xf numFmtId="4" fontId="46" fillId="5" borderId="160" xfId="0" applyNumberFormat="1" applyFont="1" applyFill="1" applyBorder="1" applyAlignment="1">
      <alignment horizontal="center" vertical="center"/>
    </xf>
    <xf numFmtId="4" fontId="46" fillId="5" borderId="161" xfId="0" applyNumberFormat="1" applyFont="1" applyFill="1" applyBorder="1" applyAlignment="1">
      <alignment horizontal="center" vertical="center"/>
    </xf>
    <xf numFmtId="4" fontId="46" fillId="5" borderId="162" xfId="0" applyNumberFormat="1" applyFont="1" applyFill="1" applyBorder="1" applyAlignment="1">
      <alignment horizontal="center" vertical="center"/>
    </xf>
    <xf numFmtId="4" fontId="53" fillId="5" borderId="160" xfId="0" applyNumberFormat="1" applyFont="1" applyFill="1" applyBorder="1" applyAlignment="1">
      <alignment horizontal="center" vertical="center"/>
    </xf>
    <xf numFmtId="4" fontId="53" fillId="5" borderId="162" xfId="0" applyNumberFormat="1" applyFont="1" applyFill="1" applyBorder="1" applyAlignment="1">
      <alignment horizontal="center" vertical="center"/>
    </xf>
    <xf numFmtId="4" fontId="50" fillId="5" borderId="128" xfId="0" applyNumberFormat="1" applyFont="1" applyFill="1" applyBorder="1" applyAlignment="1">
      <alignment horizontal="center" vertical="center"/>
    </xf>
    <xf numFmtId="4" fontId="50" fillId="5" borderId="140" xfId="0" applyNumberFormat="1" applyFont="1" applyFill="1" applyBorder="1" applyAlignment="1">
      <alignment horizontal="center" vertical="center"/>
    </xf>
    <xf numFmtId="4" fontId="59" fillId="5" borderId="130" xfId="0" applyNumberFormat="1" applyFont="1" applyFill="1" applyBorder="1" applyAlignment="1">
      <alignment horizontal="center" vertical="center"/>
    </xf>
    <xf numFmtId="4" fontId="59" fillId="5" borderId="219" xfId="0" applyNumberFormat="1" applyFont="1" applyFill="1" applyBorder="1" applyAlignment="1">
      <alignment horizontal="center" vertical="center"/>
    </xf>
    <xf numFmtId="4" fontId="50" fillId="5" borderId="7" xfId="0" applyNumberFormat="1" applyFont="1" applyFill="1" applyBorder="1" applyAlignment="1">
      <alignment horizontal="center" vertical="center"/>
    </xf>
    <xf numFmtId="4" fontId="50" fillId="5" borderId="220" xfId="0" applyNumberFormat="1" applyFont="1" applyFill="1" applyBorder="1" applyAlignment="1">
      <alignment horizontal="center" vertical="center"/>
    </xf>
    <xf numFmtId="4" fontId="49" fillId="5" borderId="128" xfId="0" applyNumberFormat="1" applyFont="1" applyFill="1" applyBorder="1" applyAlignment="1">
      <alignment horizontal="center" vertical="center"/>
    </xf>
    <xf numFmtId="4" fontId="49" fillId="5" borderId="140" xfId="0" applyNumberFormat="1" applyFont="1" applyFill="1" applyBorder="1" applyAlignment="1">
      <alignment horizontal="center" vertical="center"/>
    </xf>
    <xf numFmtId="4" fontId="53" fillId="5" borderId="16" xfId="0" applyNumberFormat="1" applyFont="1" applyFill="1" applyBorder="1" applyAlignment="1">
      <alignment horizontal="center" vertical="center"/>
    </xf>
    <xf numFmtId="4" fontId="53" fillId="5" borderId="1" xfId="0" applyNumberFormat="1" applyFont="1" applyFill="1" applyBorder="1" applyAlignment="1">
      <alignment horizontal="center" vertical="center"/>
    </xf>
    <xf numFmtId="4" fontId="100" fillId="5" borderId="1" xfId="0" applyNumberFormat="1" applyFont="1" applyFill="1" applyBorder="1" applyAlignment="1">
      <alignment horizontal="center" vertical="center" wrapText="1"/>
    </xf>
    <xf numFmtId="4" fontId="100" fillId="5" borderId="131" xfId="0" applyNumberFormat="1" applyFont="1" applyFill="1" applyBorder="1" applyAlignment="1">
      <alignment horizontal="center" vertical="center" wrapText="1"/>
    </xf>
    <xf numFmtId="4" fontId="62" fillId="5" borderId="151" xfId="0" applyNumberFormat="1" applyFont="1" applyFill="1" applyBorder="1" applyAlignment="1">
      <alignment horizontal="center" vertical="center"/>
    </xf>
    <xf numFmtId="4" fontId="62" fillId="5" borderId="155" xfId="0" applyNumberFormat="1" applyFont="1" applyFill="1" applyBorder="1" applyAlignment="1">
      <alignment horizontal="center" vertical="center"/>
    </xf>
    <xf numFmtId="4" fontId="98" fillId="5" borderId="134" xfId="0" applyNumberFormat="1" applyFont="1" applyFill="1" applyBorder="1" applyAlignment="1">
      <alignment horizontal="center" vertical="center"/>
    </xf>
    <xf numFmtId="4" fontId="98" fillId="5" borderId="143" xfId="0" applyNumberFormat="1" applyFont="1" applyFill="1" applyBorder="1" applyAlignment="1">
      <alignment horizontal="center" vertical="center"/>
    </xf>
    <xf numFmtId="4" fontId="89" fillId="5" borderId="1" xfId="0" applyNumberFormat="1" applyFont="1" applyFill="1" applyBorder="1" applyAlignment="1">
      <alignment horizontal="center" vertical="center"/>
    </xf>
    <xf numFmtId="0" fontId="48" fillId="5" borderId="8" xfId="0" applyNumberFormat="1" applyFont="1" applyFill="1" applyBorder="1" applyAlignment="1">
      <alignment horizontal="center" vertical="center" wrapText="1"/>
    </xf>
    <xf numFmtId="4" fontId="59" fillId="5" borderId="1" xfId="0" applyNumberFormat="1" applyFont="1" applyFill="1" applyBorder="1" applyAlignment="1">
      <alignment horizontal="center" vertical="center" shrinkToFit="1"/>
    </xf>
    <xf numFmtId="4" fontId="48" fillId="5" borderId="1" xfId="0" applyNumberFormat="1" applyFont="1" applyFill="1" applyBorder="1" applyAlignment="1">
      <alignment horizontal="center" vertical="center" shrinkToFit="1"/>
    </xf>
    <xf numFmtId="4" fontId="104" fillId="5" borderId="1" xfId="0" applyNumberFormat="1" applyFont="1" applyFill="1" applyBorder="1" applyAlignment="1">
      <alignment horizontal="center" vertical="center"/>
    </xf>
    <xf numFmtId="4" fontId="59" fillId="5" borderId="6" xfId="0" applyNumberFormat="1" applyFont="1" applyFill="1" applyBorder="1" applyAlignment="1">
      <alignment horizontal="center" vertical="center" wrapText="1"/>
    </xf>
    <xf numFmtId="4" fontId="59" fillId="5" borderId="4" xfId="0" applyNumberFormat="1" applyFont="1" applyFill="1" applyBorder="1" applyAlignment="1">
      <alignment horizontal="center" vertical="center" wrapText="1"/>
    </xf>
    <xf numFmtId="0" fontId="59" fillId="5" borderId="4" xfId="0" applyNumberFormat="1" applyFont="1" applyFill="1" applyBorder="1" applyAlignment="1">
      <alignment horizontal="center" vertical="center" wrapText="1"/>
    </xf>
    <xf numFmtId="0" fontId="59" fillId="5" borderId="1" xfId="0" applyNumberFormat="1" applyFont="1" applyFill="1" applyBorder="1" applyAlignment="1">
      <alignment horizontal="center" vertical="center"/>
    </xf>
    <xf numFmtId="4" fontId="46" fillId="5" borderId="1" xfId="0" applyNumberFormat="1" applyFont="1" applyFill="1" applyBorder="1" applyAlignment="1">
      <alignment horizontal="center" vertical="center" wrapText="1"/>
    </xf>
    <xf numFmtId="0" fontId="110" fillId="11" borderId="160" xfId="0" applyFont="1" applyFill="1" applyBorder="1" applyAlignment="1">
      <alignment horizontal="center" vertical="center" wrapText="1"/>
    </xf>
    <xf numFmtId="0" fontId="110" fillId="11" borderId="161" xfId="0" applyFont="1" applyFill="1" applyBorder="1" applyAlignment="1">
      <alignment horizontal="center" vertical="center" wrapText="1"/>
    </xf>
    <xf numFmtId="0" fontId="110" fillId="11" borderId="162" xfId="0" applyFont="1" applyFill="1" applyBorder="1" applyAlignment="1">
      <alignment horizontal="center" vertical="center" wrapText="1"/>
    </xf>
    <xf numFmtId="0" fontId="21" fillId="12" borderId="8" xfId="0" applyFont="1" applyFill="1" applyBorder="1" applyAlignment="1">
      <alignment horizontal="center" vertical="center" wrapText="1"/>
    </xf>
    <xf numFmtId="4" fontId="22" fillId="12" borderId="8" xfId="0" applyNumberFormat="1" applyFont="1" applyFill="1" applyBorder="1" applyAlignment="1">
      <alignment horizontal="center" vertical="center" wrapText="1"/>
    </xf>
    <xf numFmtId="0" fontId="16" fillId="4" borderId="221" xfId="0" applyFont="1" applyFill="1" applyBorder="1" applyAlignment="1">
      <alignment horizontal="center" vertical="center" wrapText="1"/>
    </xf>
    <xf numFmtId="4" fontId="24" fillId="2" borderId="164" xfId="0" applyNumberFormat="1" applyFont="1" applyFill="1" applyBorder="1" applyAlignment="1">
      <alignment horizontal="center" vertical="center" wrapText="1"/>
    </xf>
    <xf numFmtId="0" fontId="112" fillId="0" borderId="128" xfId="0" applyFont="1" applyBorder="1" applyAlignment="1">
      <alignment horizontal="center" vertical="center" wrapText="1"/>
    </xf>
    <xf numFmtId="0" fontId="112" fillId="0" borderId="140" xfId="0" applyFont="1" applyBorder="1" applyAlignment="1">
      <alignment horizontal="center" vertical="center" wrapText="1"/>
    </xf>
    <xf numFmtId="4" fontId="24" fillId="2" borderId="222" xfId="0" applyNumberFormat="1" applyFont="1" applyFill="1" applyBorder="1" applyAlignment="1">
      <alignment horizontal="center" vertical="center" wrapText="1"/>
    </xf>
    <xf numFmtId="0" fontId="16" fillId="4" borderId="163" xfId="0" applyFont="1" applyFill="1" applyBorder="1" applyAlignment="1">
      <alignment horizontal="center" vertical="center" wrapText="1"/>
    </xf>
    <xf numFmtId="0" fontId="17" fillId="0" borderId="131" xfId="0" applyFont="1" applyBorder="1" applyAlignment="1">
      <alignment horizontal="center" vertical="center" wrapText="1"/>
    </xf>
    <xf numFmtId="0" fontId="112" fillId="0" borderId="1" xfId="0" applyFont="1" applyBorder="1" applyAlignment="1">
      <alignment vertical="center" wrapText="1"/>
    </xf>
    <xf numFmtId="0" fontId="112" fillId="0" borderId="6" xfId="0" applyFont="1" applyBorder="1" applyAlignment="1">
      <alignment vertical="center" wrapText="1"/>
    </xf>
    <xf numFmtId="0" fontId="17" fillId="0" borderId="223" xfId="0" applyFont="1" applyBorder="1" applyAlignment="1">
      <alignment horizontal="center" vertical="center" wrapText="1"/>
    </xf>
    <xf numFmtId="0" fontId="21" fillId="3" borderId="222" xfId="0" applyFont="1" applyFill="1" applyBorder="1" applyAlignment="1">
      <alignment horizontal="center" vertical="center" wrapText="1"/>
    </xf>
    <xf numFmtId="0" fontId="21" fillId="3" borderId="6" xfId="0" applyFont="1" applyFill="1" applyBorder="1" applyAlignment="1">
      <alignment horizontal="center" vertical="center" wrapText="1"/>
    </xf>
    <xf numFmtId="4" fontId="24" fillId="2" borderId="149" xfId="0" applyNumberFormat="1" applyFont="1" applyFill="1" applyBorder="1" applyAlignment="1">
      <alignment horizontal="center" vertical="center" wrapText="1"/>
    </xf>
    <xf numFmtId="0" fontId="109" fillId="0" borderId="154" xfId="0" applyFont="1" applyBorder="1" applyAlignment="1">
      <alignment horizontal="left" vertical="center" wrapText="1"/>
    </xf>
    <xf numFmtId="0" fontId="109" fillId="0" borderId="4" xfId="0" applyFont="1" applyBorder="1" applyAlignment="1">
      <alignment horizontal="left" vertical="center" wrapText="1"/>
    </xf>
    <xf numFmtId="0" fontId="113" fillId="4" borderId="2" xfId="0" applyFont="1" applyFill="1" applyBorder="1" applyAlignment="1">
      <alignment horizontal="center" vertical="center" wrapText="1"/>
    </xf>
    <xf numFmtId="0" fontId="113" fillId="4" borderId="217" xfId="0" applyFont="1" applyFill="1" applyBorder="1" applyAlignment="1">
      <alignment horizontal="center" vertical="center" wrapText="1"/>
    </xf>
    <xf numFmtId="0" fontId="113" fillId="4" borderId="1" xfId="0" applyFont="1" applyFill="1" applyBorder="1" applyAlignment="1">
      <alignment horizontal="center" vertical="center" wrapText="1"/>
    </xf>
    <xf numFmtId="0" fontId="113" fillId="4" borderId="131" xfId="0" applyFont="1" applyFill="1" applyBorder="1" applyAlignment="1">
      <alignment horizontal="center" vertical="center" wrapText="1"/>
    </xf>
    <xf numFmtId="4" fontId="114" fillId="2" borderId="8" xfId="0" applyNumberFormat="1" applyFont="1" applyFill="1" applyBorder="1" applyAlignment="1">
      <alignment horizontal="center" vertical="center" shrinkToFit="1"/>
    </xf>
    <xf numFmtId="4" fontId="114" fillId="2" borderId="224" xfId="0" applyNumberFormat="1" applyFont="1" applyFill="1" applyBorder="1" applyAlignment="1">
      <alignment horizontal="center" vertical="center" shrinkToFit="1"/>
    </xf>
    <xf numFmtId="4" fontId="114" fillId="2" borderId="149" xfId="0" applyNumberFormat="1" applyFont="1" applyFill="1" applyBorder="1" applyAlignment="1">
      <alignment horizontal="center" vertical="center" shrinkToFit="1"/>
    </xf>
    <xf numFmtId="4" fontId="114" fillId="2" borderId="139" xfId="0" applyNumberFormat="1" applyFont="1" applyFill="1" applyBorder="1" applyAlignment="1">
      <alignment horizontal="center" vertical="center" shrinkToFit="1"/>
    </xf>
    <xf numFmtId="0" fontId="16" fillId="10" borderId="5" xfId="0" applyFont="1" applyFill="1" applyBorder="1" applyAlignment="1">
      <alignment horizontal="center" vertical="center" wrapText="1"/>
    </xf>
    <xf numFmtId="0" fontId="18" fillId="10" borderId="222"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6" fillId="10" borderId="225" xfId="0" applyFont="1" applyFill="1" applyBorder="1" applyAlignment="1">
      <alignment horizontal="center" vertical="center" wrapText="1"/>
    </xf>
    <xf numFmtId="0" fontId="16" fillId="0" borderId="213" xfId="0" applyFont="1" applyBorder="1" applyAlignment="1">
      <alignment horizontal="center" vertical="center" wrapText="1"/>
    </xf>
    <xf numFmtId="0" fontId="16" fillId="13" borderId="163" xfId="0" applyFont="1" applyFill="1" applyBorder="1" applyAlignment="1">
      <alignment horizontal="center" vertical="center" wrapText="1"/>
    </xf>
    <xf numFmtId="0" fontId="16" fillId="0" borderId="214" xfId="0" applyFont="1" applyBorder="1" applyAlignment="1">
      <alignment horizontal="center" vertical="center" wrapText="1"/>
    </xf>
    <xf numFmtId="0" fontId="16" fillId="0" borderId="226" xfId="0" applyFont="1" applyBorder="1" applyAlignment="1">
      <alignment horizontal="center" vertical="center" wrapText="1"/>
    </xf>
    <xf numFmtId="0" fontId="19" fillId="0" borderId="163" xfId="0" applyFont="1" applyBorder="1" applyAlignment="1">
      <alignment horizontal="center" vertical="center" wrapText="1"/>
    </xf>
    <xf numFmtId="0" fontId="19" fillId="7" borderId="163" xfId="0" applyFont="1" applyFill="1" applyBorder="1" applyAlignment="1">
      <alignment horizontal="center" vertical="center" wrapText="1"/>
    </xf>
    <xf numFmtId="4" fontId="21" fillId="0" borderId="131" xfId="0" applyNumberFormat="1" applyFont="1" applyBorder="1" applyAlignment="1">
      <alignment horizontal="center" vertical="center" wrapText="1"/>
    </xf>
    <xf numFmtId="0" fontId="19" fillId="8" borderId="163" xfId="0" applyFont="1" applyFill="1" applyBorder="1" applyAlignment="1">
      <alignment horizontal="center" vertical="center" wrapText="1"/>
    </xf>
    <xf numFmtId="0" fontId="19" fillId="9" borderId="163" xfId="0" applyFont="1" applyFill="1" applyBorder="1" applyAlignment="1">
      <alignment horizontal="center" vertical="center" wrapText="1"/>
    </xf>
    <xf numFmtId="0" fontId="16" fillId="12" borderId="227" xfId="0" applyFont="1" applyFill="1" applyBorder="1" applyAlignment="1">
      <alignment horizontal="center" vertical="center" wrapText="1"/>
    </xf>
    <xf numFmtId="4" fontId="21" fillId="0" borderId="224" xfId="0" applyNumberFormat="1" applyFont="1" applyBorder="1" applyAlignment="1">
      <alignment horizontal="center" vertical="center" wrapText="1"/>
    </xf>
    <xf numFmtId="0" fontId="17" fillId="0" borderId="219" xfId="0" applyFont="1" applyBorder="1" applyAlignment="1">
      <alignment horizontal="center" vertical="center" wrapText="1"/>
    </xf>
    <xf numFmtId="0" fontId="17" fillId="0" borderId="220" xfId="0" applyFont="1" applyBorder="1" applyAlignment="1">
      <alignment horizontal="center" vertical="center" wrapText="1"/>
    </xf>
    <xf numFmtId="0" fontId="16" fillId="4" borderId="138" xfId="0" applyFont="1" applyFill="1" applyBorder="1" applyAlignment="1">
      <alignment horizontal="center" vertical="center" wrapText="1"/>
    </xf>
    <xf numFmtId="0" fontId="23" fillId="3" borderId="149" xfId="0" applyFont="1" applyFill="1" applyBorder="1" applyAlignment="1">
      <alignment horizontal="center" vertical="center" wrapText="1"/>
    </xf>
    <xf numFmtId="0" fontId="109" fillId="0" borderId="150" xfId="0" applyFont="1" applyBorder="1" applyAlignment="1">
      <alignment vertical="center"/>
    </xf>
    <xf numFmtId="0" fontId="1" fillId="0" borderId="148" xfId="0" applyFont="1" applyBorder="1" applyAlignment="1">
      <alignment vertical="center"/>
    </xf>
    <xf numFmtId="0" fontId="110" fillId="13" borderId="160" xfId="0" applyFont="1" applyFill="1" applyBorder="1" applyAlignment="1">
      <alignment horizontal="center" vertical="center" wrapText="1"/>
    </xf>
    <xf numFmtId="0" fontId="110" fillId="13" borderId="161" xfId="0" applyFont="1" applyFill="1" applyBorder="1" applyAlignment="1">
      <alignment horizontal="center" vertical="center" wrapText="1"/>
    </xf>
    <xf numFmtId="0" fontId="110" fillId="13" borderId="162" xfId="0" applyFont="1" applyFill="1" applyBorder="1" applyAlignment="1">
      <alignment horizontal="center" vertical="center" wrapText="1"/>
    </xf>
    <xf numFmtId="0" fontId="21" fillId="13" borderId="160" xfId="0" applyFont="1" applyFill="1" applyBorder="1" applyAlignment="1">
      <alignment horizontal="center" vertical="center" wrapText="1"/>
    </xf>
    <xf numFmtId="0" fontId="21" fillId="13" borderId="161" xfId="0" applyFont="1" applyFill="1" applyBorder="1" applyAlignment="1">
      <alignment horizontal="center" vertical="center" wrapText="1"/>
    </xf>
    <xf numFmtId="0" fontId="21" fillId="13" borderId="162" xfId="0" applyFont="1" applyFill="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dxfs count="6">
    <dxf>
      <font>
        <color rgb="FF339966"/>
      </font>
      <border/>
    </dxf>
    <dxf>
      <font>
        <color rgb="FFFF0000"/>
      </font>
      <border/>
    </dxf>
    <dxf>
      <fill>
        <patternFill>
          <bgColor rgb="FFFF0000"/>
        </patternFill>
      </fill>
      <border/>
    </dxf>
    <dxf>
      <fill>
        <patternFill>
          <bgColor rgb="FFFFFFFF"/>
        </patternFill>
      </fill>
      <border/>
    </dxf>
    <dxf>
      <fill>
        <patternFill>
          <bgColor rgb="FFCCFFFF"/>
        </patternFill>
      </fill>
      <border/>
    </dxf>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RZYS%20-%20DOKUMENTY\Wzorcowe%20pliki\druki%20na%202011\I%202011%20WZ&#211;R%20Zestaw%20Li-p&#322;%20z%2004.01.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PŁ-prac"/>
      <sheetName val="Li-pł zlec"/>
      <sheetName val="przelew"/>
      <sheetName val="PIT-4(15)"/>
    </sheetNames>
    <sheetDataSet>
      <sheetData sheetId="0">
        <row r="22">
          <cell r="T22">
            <v>200</v>
          </cell>
        </row>
        <row r="54">
          <cell r="T54">
            <v>200</v>
          </cell>
        </row>
        <row r="86">
          <cell r="T86">
            <v>200</v>
          </cell>
        </row>
        <row r="118">
          <cell r="T118">
            <v>200</v>
          </cell>
        </row>
        <row r="150">
          <cell r="T150">
            <v>200</v>
          </cell>
        </row>
        <row r="182">
          <cell r="T182">
            <v>200</v>
          </cell>
        </row>
        <row r="214">
          <cell r="T214">
            <v>200</v>
          </cell>
        </row>
        <row r="246">
          <cell r="T246">
            <v>200</v>
          </cell>
        </row>
        <row r="278">
          <cell r="T278">
            <v>200</v>
          </cell>
        </row>
        <row r="310">
          <cell r="T310">
            <v>200</v>
          </cell>
        </row>
        <row r="342">
          <cell r="T342">
            <v>200</v>
          </cell>
        </row>
        <row r="374">
          <cell r="T374">
            <v>200</v>
          </cell>
        </row>
        <row r="406">
          <cell r="T406">
            <v>200</v>
          </cell>
        </row>
        <row r="438">
          <cell r="T438">
            <v>200</v>
          </cell>
        </row>
        <row r="470">
          <cell r="T470">
            <v>200</v>
          </cell>
        </row>
        <row r="502">
          <cell r="T502">
            <v>200</v>
          </cell>
        </row>
        <row r="534">
          <cell r="T534">
            <v>200</v>
          </cell>
        </row>
        <row r="566">
          <cell r="T566">
            <v>200</v>
          </cell>
        </row>
        <row r="598">
          <cell r="T598">
            <v>200</v>
          </cell>
        </row>
        <row r="630">
          <cell r="T630">
            <v>200</v>
          </cell>
        </row>
        <row r="662">
          <cell r="T662">
            <v>200</v>
          </cell>
        </row>
        <row r="694">
          <cell r="T694">
            <v>200</v>
          </cell>
        </row>
        <row r="726">
          <cell r="T726">
            <v>200</v>
          </cell>
        </row>
        <row r="758">
          <cell r="T758">
            <v>200</v>
          </cell>
        </row>
        <row r="790">
          <cell r="T790">
            <v>200</v>
          </cell>
        </row>
        <row r="822">
          <cell r="T822">
            <v>200</v>
          </cell>
        </row>
        <row r="854">
          <cell r="T854">
            <v>200</v>
          </cell>
        </row>
        <row r="886">
          <cell r="T886">
            <v>200</v>
          </cell>
        </row>
        <row r="918">
          <cell r="T918">
            <v>200</v>
          </cell>
        </row>
        <row r="950">
          <cell r="T950">
            <v>200</v>
          </cell>
        </row>
      </sheetData>
      <sheetData sheetId="1">
        <row r="1">
          <cell r="V1">
            <v>160</v>
          </cell>
        </row>
        <row r="131">
          <cell r="C131">
            <v>0</v>
          </cell>
          <cell r="D131">
            <v>0</v>
          </cell>
          <cell r="G131">
            <v>0</v>
          </cell>
        </row>
        <row r="134">
          <cell r="F134">
            <v>0</v>
          </cell>
        </row>
        <row r="141">
          <cell r="P141">
            <v>0</v>
          </cell>
        </row>
        <row r="142">
          <cell r="T142">
            <v>0</v>
          </cell>
        </row>
        <row r="144">
          <cell r="C144">
            <v>0</v>
          </cell>
          <cell r="D144">
            <v>0</v>
          </cell>
          <cell r="E144">
            <v>0</v>
          </cell>
          <cell r="G144">
            <v>0</v>
          </cell>
          <cell r="H144">
            <v>0</v>
          </cell>
        </row>
        <row r="145">
          <cell r="L145">
            <v>0</v>
          </cell>
        </row>
        <row r="146">
          <cell r="P146">
            <v>0</v>
          </cell>
        </row>
        <row r="147">
          <cell r="C147">
            <v>0</v>
          </cell>
          <cell r="D147">
            <v>0</v>
          </cell>
          <cell r="F147">
            <v>0</v>
          </cell>
          <cell r="H147">
            <v>0</v>
          </cell>
          <cell r="S14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3"/>
  <sheetViews>
    <sheetView tabSelected="1" view="pageBreakPreview" zoomScale="56" zoomScaleNormal="65" zoomScaleSheetLayoutView="56" workbookViewId="0" topLeftCell="A1">
      <selection activeCell="B7" sqref="B7"/>
    </sheetView>
  </sheetViews>
  <sheetFormatPr defaultColWidth="9.00390625" defaultRowHeight="12.75"/>
  <cols>
    <col min="1" max="1" width="82.75390625" style="1" customWidth="1"/>
    <col min="2" max="2" width="27.75390625" style="1" customWidth="1"/>
    <col min="3" max="4" width="23.375" style="1" customWidth="1"/>
    <col min="5" max="5" width="22.375" style="1" customWidth="1"/>
    <col min="6" max="6" width="22.625" style="1" customWidth="1"/>
    <col min="7" max="7" width="22.75390625" style="1" customWidth="1"/>
    <col min="8" max="16384" width="9.125" style="1" customWidth="1"/>
  </cols>
  <sheetData>
    <row r="1" spans="1:9" ht="48" customHeight="1">
      <c r="A1" s="506" t="s">
        <v>300</v>
      </c>
      <c r="B1" s="507"/>
      <c r="C1" s="507"/>
      <c r="D1" s="507"/>
      <c r="E1" s="507"/>
      <c r="F1" s="507"/>
      <c r="G1" s="507"/>
      <c r="H1" s="501" t="s">
        <v>290</v>
      </c>
      <c r="I1" s="501"/>
    </row>
    <row r="2" spans="1:9" ht="33.75" customHeight="1" thickBot="1">
      <c r="A2" s="508"/>
      <c r="B2" s="505"/>
      <c r="C2" s="505"/>
      <c r="D2" s="505"/>
      <c r="E2" s="505"/>
      <c r="F2" s="505"/>
      <c r="G2" s="505"/>
      <c r="H2" s="501" t="s">
        <v>291</v>
      </c>
      <c r="I2" s="501"/>
    </row>
    <row r="3" spans="1:9" ht="33.75" customHeight="1" thickBot="1">
      <c r="A3" s="889" t="s">
        <v>323</v>
      </c>
      <c r="B3" s="890"/>
      <c r="C3" s="890"/>
      <c r="D3" s="890"/>
      <c r="E3" s="890"/>
      <c r="F3" s="890"/>
      <c r="G3" s="891"/>
      <c r="H3" s="491"/>
      <c r="I3" s="491"/>
    </row>
    <row r="4" spans="1:7" ht="87.75" customHeight="1">
      <c r="A4" s="868" t="s">
        <v>287</v>
      </c>
      <c r="B4" s="869" t="s">
        <v>289</v>
      </c>
      <c r="C4" s="870" t="s">
        <v>318</v>
      </c>
      <c r="D4" s="871" t="s">
        <v>319</v>
      </c>
      <c r="E4" s="522" t="s">
        <v>288</v>
      </c>
      <c r="F4" s="523"/>
      <c r="G4" s="872" t="s">
        <v>292</v>
      </c>
    </row>
    <row r="5" spans="1:7" ht="25.5" customHeight="1">
      <c r="A5" s="873" t="s">
        <v>8</v>
      </c>
      <c r="B5" s="7">
        <v>5</v>
      </c>
      <c r="C5" s="516"/>
      <c r="D5" s="518"/>
      <c r="E5" s="524" t="s">
        <v>28</v>
      </c>
      <c r="F5" s="500">
        <v>2011</v>
      </c>
      <c r="G5" s="874"/>
    </row>
    <row r="6" spans="1:10" ht="73.5" customHeight="1">
      <c r="A6" s="873" t="s">
        <v>9</v>
      </c>
      <c r="B6" s="7">
        <f>B5</f>
        <v>5</v>
      </c>
      <c r="C6" s="516"/>
      <c r="D6" s="518"/>
      <c r="E6" s="524"/>
      <c r="F6" s="500"/>
      <c r="G6" s="874"/>
      <c r="I6" s="499"/>
      <c r="J6" s="499"/>
    </row>
    <row r="7" spans="1:7" ht="36.75" customHeight="1">
      <c r="A7" s="873" t="s">
        <v>10</v>
      </c>
      <c r="B7" s="7">
        <f>B5</f>
        <v>5</v>
      </c>
      <c r="C7" s="516"/>
      <c r="D7" s="518"/>
      <c r="E7" s="515">
        <v>1386</v>
      </c>
      <c r="F7" s="511"/>
      <c r="G7" s="874"/>
    </row>
    <row r="8" spans="1:7" ht="36" customHeight="1" thickBot="1">
      <c r="A8" s="873" t="s">
        <v>11</v>
      </c>
      <c r="B8" s="7">
        <f>B5</f>
        <v>5</v>
      </c>
      <c r="C8" s="517"/>
      <c r="D8" s="519"/>
      <c r="E8" s="509">
        <f>'lista płac'!F39+'lista płac'!T19</f>
        <v>1778.9899999999998</v>
      </c>
      <c r="F8" s="510"/>
      <c r="G8" s="875"/>
    </row>
    <row r="9" spans="1:7" ht="13.5" customHeight="1">
      <c r="A9" s="876"/>
      <c r="B9" s="2"/>
      <c r="C9" s="3"/>
      <c r="D9" s="3"/>
      <c r="E9" s="4"/>
      <c r="F9" s="5"/>
      <c r="G9" s="851"/>
    </row>
    <row r="10" spans="1:7" ht="40.5">
      <c r="A10" s="877" t="s">
        <v>295</v>
      </c>
      <c r="B10" s="492" t="s">
        <v>290</v>
      </c>
      <c r="C10" s="493">
        <f>IF(B10="TAK",wyliczenia!F17,0)</f>
        <v>168.3</v>
      </c>
      <c r="D10" s="493">
        <f>IF(B10="TAK",wyliczenia!H17,0)</f>
        <v>205.33</v>
      </c>
      <c r="E10" s="503" t="str">
        <f>IF(COUNTIF(B10:B13,"TAK")&gt;1,"&lt;TERAZ PROSZĘ WYBRAĆ JEDEN Z WARIANTÓW NA TAK","")</f>
        <v>&lt;TERAZ PROSZĘ WYBRAĆ JEDEN Z WARIANTÓW NA TAK</v>
      </c>
      <c r="F10" s="504"/>
      <c r="G10" s="878">
        <f>IF(C10&gt;0,C10-$E$8,0)</f>
        <v>-1610.6899999999998</v>
      </c>
    </row>
    <row r="11" spans="1:7" ht="38.25" customHeight="1">
      <c r="A11" s="879" t="s">
        <v>296</v>
      </c>
      <c r="B11" s="494" t="s">
        <v>290</v>
      </c>
      <c r="C11" s="495">
        <f>IF(B11="TAK",wyliczenia!F18,0)</f>
        <v>287</v>
      </c>
      <c r="D11" s="495">
        <f>IF(B11="TAK",wyliczenia!H18,0)</f>
        <v>350.14</v>
      </c>
      <c r="E11" s="503"/>
      <c r="F11" s="504"/>
      <c r="G11" s="878">
        <f>IF(C11&gt;0,C11-$E$8,0)</f>
        <v>-1491.9899999999998</v>
      </c>
    </row>
    <row r="12" spans="1:7" ht="47.25" customHeight="1">
      <c r="A12" s="880" t="s">
        <v>297</v>
      </c>
      <c r="B12" s="496" t="s">
        <v>290</v>
      </c>
      <c r="C12" s="497">
        <f>IF(B12="TAK",wyliczenia!F19,0)</f>
        <v>374</v>
      </c>
      <c r="D12" s="497">
        <f>IF(B12="TAK",wyliczenia!H19,0)</f>
        <v>456.28</v>
      </c>
      <c r="E12" s="503"/>
      <c r="F12" s="504"/>
      <c r="G12" s="878">
        <f>IF(C12&gt;0,C12-$E$8,0)</f>
        <v>-1404.9899999999998</v>
      </c>
    </row>
    <row r="13" spans="1:7" ht="44.25" customHeight="1" thickBot="1">
      <c r="A13" s="881" t="s">
        <v>298</v>
      </c>
      <c r="B13" s="843" t="s">
        <v>290</v>
      </c>
      <c r="C13" s="844">
        <f>IF(B13="TAK",wyliczenia!F20,0)</f>
        <v>748</v>
      </c>
      <c r="D13" s="844">
        <f>IF(B13="TAK",wyliczenia!H20,0)</f>
        <v>912.56</v>
      </c>
      <c r="E13" s="503"/>
      <c r="F13" s="504"/>
      <c r="G13" s="882">
        <f>IF(C13&gt;0,C13-$E$8,0)</f>
        <v>-1030.9899999999998</v>
      </c>
    </row>
    <row r="14" spans="1:7" ht="31.5" customHeight="1" thickBot="1">
      <c r="A14" s="892" t="s">
        <v>324</v>
      </c>
      <c r="B14" s="893"/>
      <c r="C14" s="893"/>
      <c r="D14" s="893"/>
      <c r="E14" s="893"/>
      <c r="F14" s="893"/>
      <c r="G14" s="894"/>
    </row>
    <row r="15" spans="1:7" ht="70.5" customHeight="1">
      <c r="A15" s="845" t="s">
        <v>321</v>
      </c>
      <c r="B15" s="8"/>
      <c r="C15" s="846">
        <f>IF(B16&gt;=60,B15*B16*0.5,0)</f>
        <v>0</v>
      </c>
      <c r="D15" s="846">
        <f>C15+(C15*23%)</f>
        <v>0</v>
      </c>
      <c r="E15" s="847" t="s">
        <v>322</v>
      </c>
      <c r="F15" s="848"/>
      <c r="G15" s="883"/>
    </row>
    <row r="16" spans="1:7" ht="73.5" customHeight="1" thickBot="1">
      <c r="A16" s="498" t="s">
        <v>320</v>
      </c>
      <c r="B16" s="10"/>
      <c r="C16" s="502"/>
      <c r="D16" s="502"/>
      <c r="E16" s="520"/>
      <c r="F16" s="521"/>
      <c r="G16" s="884"/>
    </row>
    <row r="17" spans="1:7" ht="65.25" customHeight="1" thickBot="1">
      <c r="A17" s="885" t="s">
        <v>333</v>
      </c>
      <c r="B17" s="886"/>
      <c r="C17" s="857">
        <f>B17*wyliczenia!G22</f>
        <v>0</v>
      </c>
      <c r="D17" s="857">
        <f>C17+(C17*23%)</f>
        <v>0</v>
      </c>
      <c r="E17" s="887" t="s">
        <v>294</v>
      </c>
      <c r="F17" s="888"/>
      <c r="G17" s="854"/>
    </row>
    <row r="18" spans="1:7" ht="41.25" customHeight="1" thickBot="1">
      <c r="A18" s="840" t="s">
        <v>334</v>
      </c>
      <c r="B18" s="841"/>
      <c r="C18" s="841"/>
      <c r="D18" s="841"/>
      <c r="E18" s="841"/>
      <c r="F18" s="841"/>
      <c r="G18" s="842"/>
    </row>
    <row r="19" spans="1:7" ht="64.5" customHeight="1">
      <c r="A19" s="9" t="s">
        <v>327</v>
      </c>
      <c r="B19" s="855"/>
      <c r="C19" s="849">
        <f>IF(B19&gt;0,IF(B19&lt;=20,1000,0)+IF(B19&gt;20,(1000/20)*B19),0)</f>
        <v>0</v>
      </c>
      <c r="D19" s="849">
        <f>C19+(C19*23%)</f>
        <v>0</v>
      </c>
      <c r="E19" s="858" t="s">
        <v>329</v>
      </c>
      <c r="F19" s="860" t="s">
        <v>330</v>
      </c>
      <c r="G19" s="861"/>
    </row>
    <row r="20" spans="1:7" ht="39.75" customHeight="1">
      <c r="A20" s="850" t="s">
        <v>326</v>
      </c>
      <c r="B20" s="7"/>
      <c r="C20" s="6">
        <f>IF(B20&gt;0,IF(B20&lt;=20,1500,0)+IF(B20&gt;20,(1500/20)*B20),0)</f>
        <v>0</v>
      </c>
      <c r="D20" s="6">
        <f>C20+(C20*23%)</f>
        <v>0</v>
      </c>
      <c r="E20" s="859"/>
      <c r="F20" s="862" t="s">
        <v>331</v>
      </c>
      <c r="G20" s="863" t="s">
        <v>332</v>
      </c>
    </row>
    <row r="21" spans="1:7" ht="70.5" customHeight="1">
      <c r="A21" s="850" t="s">
        <v>325</v>
      </c>
      <c r="B21" s="7">
        <v>1</v>
      </c>
      <c r="C21" s="6">
        <f>IF(B21&gt;0,(100+(B22/10))*B21,0)</f>
        <v>110</v>
      </c>
      <c r="D21" s="6">
        <f>C21+(C21*23%)</f>
        <v>135.3</v>
      </c>
      <c r="E21" s="852"/>
      <c r="F21" s="864">
        <f>SUM(C19:C22)</f>
        <v>210</v>
      </c>
      <c r="G21" s="865">
        <f>SUM(D19:D22)</f>
        <v>258.3</v>
      </c>
    </row>
    <row r="22" spans="1:7" ht="73.5" customHeight="1" thickBot="1">
      <c r="A22" s="498" t="s">
        <v>328</v>
      </c>
      <c r="B22" s="856">
        <v>100</v>
      </c>
      <c r="C22" s="857">
        <f>B22*1</f>
        <v>100</v>
      </c>
      <c r="D22" s="857">
        <f>C22+(C22*23%)</f>
        <v>123</v>
      </c>
      <c r="E22" s="853"/>
      <c r="F22" s="866"/>
      <c r="G22" s="867"/>
    </row>
    <row r="23" spans="1:7" ht="37.5" customHeight="1" thickBot="1">
      <c r="A23" s="512" t="s">
        <v>299</v>
      </c>
      <c r="B23" s="513"/>
      <c r="C23" s="513"/>
      <c r="D23" s="513"/>
      <c r="E23" s="513"/>
      <c r="F23" s="513"/>
      <c r="G23" s="514"/>
    </row>
  </sheetData>
  <mergeCells count="24">
    <mergeCell ref="A18:G18"/>
    <mergeCell ref="A14:G14"/>
    <mergeCell ref="E19:E20"/>
    <mergeCell ref="F19:G19"/>
    <mergeCell ref="F21:F22"/>
    <mergeCell ref="G21:G22"/>
    <mergeCell ref="E15:F16"/>
    <mergeCell ref="E4:F4"/>
    <mergeCell ref="E5:E6"/>
    <mergeCell ref="A3:G3"/>
    <mergeCell ref="I6:J6"/>
    <mergeCell ref="F5:F6"/>
    <mergeCell ref="H2:I2"/>
    <mergeCell ref="H1:I1"/>
    <mergeCell ref="A23:G23"/>
    <mergeCell ref="E7:F7"/>
    <mergeCell ref="E8:F8"/>
    <mergeCell ref="A1:G2"/>
    <mergeCell ref="G4:G8"/>
    <mergeCell ref="E10:F13"/>
    <mergeCell ref="C15:C16"/>
    <mergeCell ref="D15:D16"/>
    <mergeCell ref="C4:C8"/>
    <mergeCell ref="D4:D8"/>
  </mergeCells>
  <conditionalFormatting sqref="G10:G13">
    <cfRule type="cellIs" priority="1" dxfId="0" operator="lessThan" stopIfTrue="1">
      <formula>0</formula>
    </cfRule>
    <cfRule type="cellIs" priority="2" dxfId="1" operator="greaterThan" stopIfTrue="1">
      <formula>0</formula>
    </cfRule>
  </conditionalFormatting>
  <dataValidations count="4">
    <dataValidation type="textLength" operator="equal" showInputMessage="1" showErrorMessage="1" promptTitle="Tu są formuły, nie zmieniaj ich!" prompt="Tu są formuły, nie zmieniaj ich!" errorTitle="Tu są formuły, nie zmieniaj ich!" error="Tu są formuły, nie zmieniaj ich!" sqref="A23:G23 G15:G16 A1:G2 E10:G13 E4:F4 E8:F8 G4:G8 B4">
      <formula1>1000</formula1>
    </dataValidation>
    <dataValidation type="textLength" operator="equal" allowBlank="1" showInputMessage="1" showErrorMessage="1" sqref="A4:A13 C4:D13 H1:I3">
      <formula1>1000</formula1>
    </dataValidation>
    <dataValidation type="textLength" operator="equal" showInputMessage="1" showErrorMessage="1" sqref="A15:A17 A19:A22 C15:F17 C19:G22">
      <formula1>1000</formula1>
    </dataValidation>
    <dataValidation type="list" allowBlank="1" showInputMessage="1" showErrorMessage="1" sqref="B10:B13">
      <formula1>$H$1:$H$2</formula1>
    </dataValidation>
  </dataValidations>
  <printOptions horizontalCentered="1"/>
  <pageMargins left="0.7874015748031497" right="0.3937007874015748" top="0.3937007874015748" bottom="0.3937007874015748" header="0" footer="0"/>
  <pageSetup horizontalDpi="300" verticalDpi="300" orientation="landscape" paperSize="9" scale="60" r:id="rId3"/>
  <rowBreaks count="1" manualBreakCount="1">
    <brk id="17" max="6" man="1"/>
  </rowBreaks>
  <legacyDrawing r:id="rId2"/>
</worksheet>
</file>

<file path=xl/worksheets/sheet2.xml><?xml version="1.0" encoding="utf-8"?>
<worksheet xmlns="http://schemas.openxmlformats.org/spreadsheetml/2006/main" xmlns:r="http://schemas.openxmlformats.org/officeDocument/2006/relationships">
  <dimension ref="A1:I33"/>
  <sheetViews>
    <sheetView view="pageBreakPreview" zoomScale="75" zoomScaleNormal="50" zoomScaleSheetLayoutView="75" workbookViewId="0" topLeftCell="A1">
      <selection activeCell="M5" sqref="M5"/>
    </sheetView>
  </sheetViews>
  <sheetFormatPr defaultColWidth="9.00390625" defaultRowHeight="12.75"/>
  <cols>
    <col min="1" max="1" width="7.375" style="11" customWidth="1"/>
    <col min="2" max="2" width="40.375" style="11" customWidth="1"/>
    <col min="3" max="3" width="17.375" style="11" customWidth="1"/>
    <col min="4" max="4" width="19.00390625" style="11" customWidth="1"/>
    <col min="5" max="5" width="22.125" style="11" customWidth="1"/>
    <col min="6" max="6" width="22.375" style="11" customWidth="1"/>
    <col min="7" max="7" width="19.75390625" style="11" customWidth="1"/>
    <col min="8" max="8" width="20.25390625" style="11" customWidth="1"/>
    <col min="9" max="16384" width="9.125" style="11" customWidth="1"/>
  </cols>
  <sheetData>
    <row r="1" spans="1:8" ht="12.75">
      <c r="A1" s="525" t="s">
        <v>0</v>
      </c>
      <c r="B1" s="525"/>
      <c r="C1" s="525"/>
      <c r="D1" s="525"/>
      <c r="E1" s="525"/>
      <c r="F1" s="525"/>
      <c r="G1" s="525"/>
      <c r="H1" s="525"/>
    </row>
    <row r="2" spans="1:8" ht="12.75">
      <c r="A2" s="526"/>
      <c r="B2" s="526"/>
      <c r="C2" s="526"/>
      <c r="D2" s="526"/>
      <c r="E2" s="526"/>
      <c r="F2" s="526"/>
      <c r="G2" s="526"/>
      <c r="H2" s="526"/>
    </row>
    <row r="3" spans="1:8" ht="37.5" customHeight="1">
      <c r="A3" s="12" t="s">
        <v>1</v>
      </c>
      <c r="B3" s="13" t="s">
        <v>2</v>
      </c>
      <c r="C3" s="12" t="s">
        <v>3</v>
      </c>
      <c r="D3" s="12" t="s">
        <v>4</v>
      </c>
      <c r="E3" s="12" t="s">
        <v>5</v>
      </c>
      <c r="F3" s="12" t="s">
        <v>6</v>
      </c>
      <c r="G3" s="12" t="s">
        <v>293</v>
      </c>
      <c r="H3" s="12" t="s">
        <v>7</v>
      </c>
    </row>
    <row r="4" spans="1:9" ht="18">
      <c r="A4" s="12">
        <v>1</v>
      </c>
      <c r="B4" s="13" t="s">
        <v>8</v>
      </c>
      <c r="C4" s="14">
        <v>0.2</v>
      </c>
      <c r="D4" s="15"/>
      <c r="E4" s="16">
        <f>'Ile zapłacę'!B5</f>
        <v>5</v>
      </c>
      <c r="F4" s="15">
        <f>IF(E4&gt;0,IF(E4&lt;=B$22,B$22*D$22*C4,0)+IF(E4&gt;B$22,IF(E4&lt;=B$23,B$22*D$22*C4+((E4-B$22)*D$23*C4),0))+IF(E4&gt;B$23,IF(E4&lt;=B$24,B$22*D$22*C4+((B$23-B$22)*D$23*C4)+(E4-B$23)*D$24*C4,0))+IF(E4&gt;B$24,IF(E4&lt;=B$25,B$22*D$22*C4+((B$23-B$22)*D$23*C4)+((B$24-B$23)*D$24*C4)+((E4-B$24)*D$25*C4),0))+IF(E4&gt;B$25,B$22*D$22*C4+((B$23-B$22)*D$23*C4)+((B$24-B$23)*D$24*C4)+((B$25-B$24)*D$25*C4)+((E4-B$25)*D$25*C4),0),0)</f>
        <v>56</v>
      </c>
      <c r="G4" s="15">
        <f>IF(E4&gt;0,ROUND((F4*23%),2)," ")</f>
        <v>12.88</v>
      </c>
      <c r="H4" s="15">
        <f>IF(E4&gt;0,F4+G4," ")</f>
        <v>68.88</v>
      </c>
      <c r="I4" s="17"/>
    </row>
    <row r="5" spans="1:9" ht="53.25" customHeight="1">
      <c r="A5" s="12">
        <f>IF(B5&gt;0,A4+1," ")</f>
        <v>2</v>
      </c>
      <c r="B5" s="13" t="s">
        <v>9</v>
      </c>
      <c r="C5" s="14">
        <v>0.2</v>
      </c>
      <c r="D5" s="15"/>
      <c r="E5" s="16">
        <f>'Ile zapłacę'!B6</f>
        <v>5</v>
      </c>
      <c r="F5" s="15">
        <f>IF(E5&gt;0,IF(E5&lt;=B$22,B$22*D$22*C5,0)+IF(E5&gt;B$22,IF(E5&lt;=B$23,B$22*D$22*C5+((E5-B$22)*D$23*C5),0))+IF(E5&gt;B$23,IF(E5&lt;=B$24,B$22*D$22*C5+((B$23-B$22)*D$23*C5)+(E5-B$23)*D$24*C5,0))+IF(E5&gt;B$24,IF(E5&lt;=B$25,B$22*D$22*C5+((B$23-B$22)*D$23*C5)+((B$24-B$23)*D$24*C5)+((E5-B$24)*D$25*C5),0))+IF(E5&gt;B$25,B$22*D$22*C5+((B$23-B$22)*D$23*C5)+((B$24-B$23)*D$24*C5)+((B$25-B$24)*D$25*C5)+((E5-B$25)*D$25*C5),0),0)</f>
        <v>56</v>
      </c>
      <c r="G5" s="15">
        <f>IF(E5&gt;0,ROUND((F5*23%),2)," ")</f>
        <v>12.88</v>
      </c>
      <c r="H5" s="15">
        <f>IF(E5&gt;0,F5+G5," ")</f>
        <v>68.88</v>
      </c>
      <c r="I5" s="17"/>
    </row>
    <row r="6" spans="1:9" ht="25.5">
      <c r="A6" s="12">
        <f aca="true" t="shared" si="0" ref="A6:A16">IF(B6&gt;0,A5+1," ")</f>
        <v>3</v>
      </c>
      <c r="B6" s="13" t="s">
        <v>10</v>
      </c>
      <c r="C6" s="14">
        <v>0.3</v>
      </c>
      <c r="D6" s="15"/>
      <c r="E6" s="16">
        <f>'Ile zapłacę'!B7</f>
        <v>5</v>
      </c>
      <c r="F6" s="15">
        <f>IF(E6&gt;0,IF(E6&lt;=B$22,B$22*D$22*C6,0)+IF(E6&gt;B$22,IF(E6&lt;=B$23,B$22*D$22*C6+((E6-B$22)*D$23*C6),0))+IF(E6&gt;B$23,IF(E6&lt;=B$24,B$22*D$22*C6+((B$23-B$22)*D$23*C6)+(E6-B$23)*D$24*C6,0))+IF(E6&gt;B$24,IF(E6&lt;=B$25,B$22*D$22*C6+((B$23-B$22)*D$23*C6)+((B$24-B$23)*D$24*C6)+((E6-B$24)*D$25*C6),0))+IF(E6&gt;B$25,B$22*D$22*C6+((B$23-B$22)*D$23*C6)+((B$24-B$23)*D$24*C6)+((B$25-B$24)*D$25*C6)+((E6-B$25)*D$25*C6),0),0)</f>
        <v>84</v>
      </c>
      <c r="G6" s="15">
        <f>IF(E6&gt;0,ROUND((F6*23%),2)," ")</f>
        <v>19.32</v>
      </c>
      <c r="H6" s="15">
        <f>IF(E6&gt;0,F6+G6," ")</f>
        <v>103.32</v>
      </c>
      <c r="I6" s="17"/>
    </row>
    <row r="7" spans="1:9" ht="25.5">
      <c r="A7" s="12" t="str">
        <f>IF(B8&gt;0,A6+1," ")</f>
        <v> </v>
      </c>
      <c r="B7" s="11" t="s">
        <v>11</v>
      </c>
      <c r="C7" s="14">
        <v>0.3</v>
      </c>
      <c r="D7" s="15"/>
      <c r="E7" s="16">
        <f>'Ile zapłacę'!B8</f>
        <v>5</v>
      </c>
      <c r="F7" s="15">
        <f>IF(E7&gt;0,IF(E7&lt;=B$22,B$22*D$22*C7,0)+IF(E7&gt;B$22,IF(E7&lt;=B$23,B$22*D$22*C7+((E7-B$22)*D$23*C7),0))+IF(E7&gt;B$23,IF(E7&lt;=B$24,B$22*D$22*C7+((B$23-B$22)*D$23*C7)+(E7-B$23)*D$24*C7,0))+IF(E7&gt;B$24,IF(E7&lt;=B$25,B$22*D$22*C7+((B$23-B$22)*D$23*C7)+((B$24-B$23)*D$24*C7)+((E7-B$24)*D$25*C7),0))+IF(E7&gt;B$25,B$22*D$22*C7+((B$23-B$22)*D$23*C7)+((B$24-B$23)*D$24*C7)+((B$25-B$24)*D$25*C7)+((E7-B$25)*D$25*C7),0),0)</f>
        <v>84</v>
      </c>
      <c r="G7" s="15">
        <f>IF(E7&gt;0,ROUND((F7*23%),2)," ")</f>
        <v>19.32</v>
      </c>
      <c r="H7" s="15">
        <f>IF(E7&gt;0,F7+G7," ")</f>
        <v>103.32</v>
      </c>
      <c r="I7" s="17"/>
    </row>
    <row r="8" spans="1:9" ht="18">
      <c r="A8" s="12" t="str">
        <f t="shared" si="0"/>
        <v> </v>
      </c>
      <c r="B8" s="13"/>
      <c r="C8" s="14"/>
      <c r="D8" s="15"/>
      <c r="E8" s="16" t="str">
        <f aca="true" t="shared" si="1" ref="E8:E16">IF(B8&gt;0,E7," ")</f>
        <v> </v>
      </c>
      <c r="F8" s="15">
        <f aca="true" t="shared" si="2" ref="F8:F16">IF(B8&gt;0,IF(E8&lt;=B$22,B$22*D$22*C8,0)+IF(E8&gt;B$22,IF(E8&lt;=B$23,B$22*D$22*C8+((E8-B$22)*D$23*C8),0))+IF(E8&gt;B$23,IF(E8&lt;=B$24,B$22*D$22*C8+((B$23-B$22)*D$23*C8)+(E8-B$23)*D$24*C8,0))+IF(E8&gt;B$24,IF(E8&lt;=B$25,B$22*D$22*C8+((B$23-B$22)*D$23*C8)+((B$24-B$23)*D$24*C8)+((E8-B$24)*D$25*C8),0))+IF(E8&gt;B$25,B$22*D$22*C8+((B$23-B$22)*D$23*C8)+((B$24-B$23)*D$24*C8)+((B$25-B$24)*D$25*C8)+((E8-B$25)*D$25*C8),0),0)</f>
        <v>0</v>
      </c>
      <c r="G8" s="15" t="str">
        <f aca="true" t="shared" si="3" ref="G8:G16">IF(B8&gt;0,ROUND((F8*22%),2)," ")</f>
        <v> </v>
      </c>
      <c r="H8" s="15" t="str">
        <f aca="true" t="shared" si="4" ref="H8:H16">IF(B8&gt;0,F8+G8," ")</f>
        <v> </v>
      </c>
      <c r="I8" s="17"/>
    </row>
    <row r="9" spans="1:9" ht="18">
      <c r="A9" s="12" t="str">
        <f t="shared" si="0"/>
        <v> </v>
      </c>
      <c r="B9" s="13"/>
      <c r="C9" s="14"/>
      <c r="D9" s="15"/>
      <c r="E9" s="16" t="str">
        <f t="shared" si="1"/>
        <v> </v>
      </c>
      <c r="F9" s="15">
        <f t="shared" si="2"/>
        <v>0</v>
      </c>
      <c r="G9" s="15" t="str">
        <f t="shared" si="3"/>
        <v> </v>
      </c>
      <c r="H9" s="15" t="str">
        <f t="shared" si="4"/>
        <v> </v>
      </c>
      <c r="I9" s="17"/>
    </row>
    <row r="10" spans="1:9" ht="18">
      <c r="A10" s="12" t="str">
        <f t="shared" si="0"/>
        <v> </v>
      </c>
      <c r="B10" s="13"/>
      <c r="C10" s="14"/>
      <c r="D10" s="15"/>
      <c r="E10" s="16" t="str">
        <f t="shared" si="1"/>
        <v> </v>
      </c>
      <c r="F10" s="15">
        <f t="shared" si="2"/>
        <v>0</v>
      </c>
      <c r="G10" s="15" t="str">
        <f t="shared" si="3"/>
        <v> </v>
      </c>
      <c r="H10" s="15" t="str">
        <f t="shared" si="4"/>
        <v> </v>
      </c>
      <c r="I10" s="17"/>
    </row>
    <row r="11" spans="1:9" ht="18">
      <c r="A11" s="12" t="str">
        <f t="shared" si="0"/>
        <v> </v>
      </c>
      <c r="B11" s="13"/>
      <c r="C11" s="14"/>
      <c r="D11" s="15"/>
      <c r="E11" s="16" t="str">
        <f t="shared" si="1"/>
        <v> </v>
      </c>
      <c r="F11" s="15">
        <f t="shared" si="2"/>
        <v>0</v>
      </c>
      <c r="G11" s="15" t="str">
        <f t="shared" si="3"/>
        <v> </v>
      </c>
      <c r="H11" s="15" t="str">
        <f t="shared" si="4"/>
        <v> </v>
      </c>
      <c r="I11" s="17"/>
    </row>
    <row r="12" spans="1:9" ht="18">
      <c r="A12" s="12" t="str">
        <f t="shared" si="0"/>
        <v> </v>
      </c>
      <c r="B12" s="13"/>
      <c r="C12" s="14"/>
      <c r="D12" s="15"/>
      <c r="E12" s="16" t="str">
        <f t="shared" si="1"/>
        <v> </v>
      </c>
      <c r="F12" s="15">
        <f t="shared" si="2"/>
        <v>0</v>
      </c>
      <c r="G12" s="15" t="str">
        <f t="shared" si="3"/>
        <v> </v>
      </c>
      <c r="H12" s="15" t="str">
        <f t="shared" si="4"/>
        <v> </v>
      </c>
      <c r="I12" s="17"/>
    </row>
    <row r="13" spans="1:9" ht="18">
      <c r="A13" s="12" t="str">
        <f t="shared" si="0"/>
        <v> </v>
      </c>
      <c r="B13" s="13"/>
      <c r="C13" s="14"/>
      <c r="D13" s="15"/>
      <c r="E13" s="16" t="str">
        <f t="shared" si="1"/>
        <v> </v>
      </c>
      <c r="F13" s="15">
        <f t="shared" si="2"/>
        <v>0</v>
      </c>
      <c r="G13" s="15" t="str">
        <f t="shared" si="3"/>
        <v> </v>
      </c>
      <c r="H13" s="15" t="str">
        <f t="shared" si="4"/>
        <v> </v>
      </c>
      <c r="I13" s="17"/>
    </row>
    <row r="14" spans="1:9" ht="18">
      <c r="A14" s="12" t="str">
        <f t="shared" si="0"/>
        <v> </v>
      </c>
      <c r="B14" s="13"/>
      <c r="C14" s="14"/>
      <c r="D14" s="15"/>
      <c r="E14" s="16" t="str">
        <f t="shared" si="1"/>
        <v> </v>
      </c>
      <c r="F14" s="15">
        <f t="shared" si="2"/>
        <v>0</v>
      </c>
      <c r="G14" s="15" t="str">
        <f t="shared" si="3"/>
        <v> </v>
      </c>
      <c r="H14" s="15" t="str">
        <f t="shared" si="4"/>
        <v> </v>
      </c>
      <c r="I14" s="17"/>
    </row>
    <row r="15" spans="1:9" ht="18">
      <c r="A15" s="12" t="str">
        <f t="shared" si="0"/>
        <v> </v>
      </c>
      <c r="B15" s="13"/>
      <c r="C15" s="14"/>
      <c r="D15" s="15"/>
      <c r="E15" s="16" t="str">
        <f t="shared" si="1"/>
        <v> </v>
      </c>
      <c r="F15" s="15">
        <f t="shared" si="2"/>
        <v>0</v>
      </c>
      <c r="G15" s="15" t="str">
        <f t="shared" si="3"/>
        <v> </v>
      </c>
      <c r="H15" s="15" t="str">
        <f t="shared" si="4"/>
        <v> </v>
      </c>
      <c r="I15" s="17"/>
    </row>
    <row r="16" spans="1:9" ht="18">
      <c r="A16" s="12" t="str">
        <f t="shared" si="0"/>
        <v> </v>
      </c>
      <c r="B16" s="13"/>
      <c r="C16" s="14"/>
      <c r="D16" s="15"/>
      <c r="E16" s="16" t="str">
        <f t="shared" si="1"/>
        <v> </v>
      </c>
      <c r="F16" s="15">
        <f t="shared" si="2"/>
        <v>0</v>
      </c>
      <c r="G16" s="15" t="str">
        <f t="shared" si="3"/>
        <v> </v>
      </c>
      <c r="H16" s="15" t="str">
        <f t="shared" si="4"/>
        <v> </v>
      </c>
      <c r="I16" s="17"/>
    </row>
    <row r="17" spans="1:9" ht="29.25">
      <c r="A17" s="18"/>
      <c r="B17" s="19" t="s">
        <v>301</v>
      </c>
      <c r="C17" s="20"/>
      <c r="D17" s="21">
        <f>ROUND((F17/E17),2)</f>
        <v>33.66</v>
      </c>
      <c r="E17" s="22">
        <f>E19</f>
        <v>5</v>
      </c>
      <c r="F17" s="21">
        <f>IF(E17&lt;101,F19*45%,E17*10)</f>
        <v>168.3</v>
      </c>
      <c r="G17" s="21">
        <f>IF(B17&gt;0,ROUND((F17*22%),2)," ")</f>
        <v>37.03</v>
      </c>
      <c r="H17" s="21">
        <f>IF(B17&gt;0,F17+G17," ")</f>
        <v>205.33</v>
      </c>
      <c r="I17" s="23"/>
    </row>
    <row r="18" spans="1:9" ht="29.25">
      <c r="A18" s="18"/>
      <c r="B18" s="19" t="s">
        <v>302</v>
      </c>
      <c r="C18" s="20"/>
      <c r="D18" s="21">
        <f>ROUND((F18/E18),2)</f>
        <v>57.4</v>
      </c>
      <c r="E18" s="22">
        <f>E17</f>
        <v>5</v>
      </c>
      <c r="F18" s="21">
        <f>IF(E18&lt;101,(F19*50%+100)+(IF(E18&gt;10,(SUM(F4:F16)/50*(E18-10))*20%,0))-IF(E18&gt;50,(SUM(F4:F16)/50*(E18-50))*17%,0),E18*15)</f>
        <v>287</v>
      </c>
      <c r="G18" s="21">
        <f>IF(B18&gt;0,ROUND((F18*22%),2)," ")</f>
        <v>63.14</v>
      </c>
      <c r="H18" s="21">
        <f>IF(B18&gt;0,F18+G18," ")</f>
        <v>350.14</v>
      </c>
      <c r="I18" s="23"/>
    </row>
    <row r="19" spans="1:9" ht="32.25" customHeight="1">
      <c r="A19" s="13" t="s">
        <v>12</v>
      </c>
      <c r="B19" s="24" t="s">
        <v>303</v>
      </c>
      <c r="C19" s="25">
        <f>SUM(C4:C16)</f>
        <v>1</v>
      </c>
      <c r="D19" s="26">
        <f>ROUND((F19/E19),2)</f>
        <v>74.8</v>
      </c>
      <c r="E19" s="27">
        <f>E4</f>
        <v>5</v>
      </c>
      <c r="F19" s="26">
        <f>IF(E19&lt;101,(SUM(F4:F16)*80%+150)-IF(E19&gt;50,(SUM(F4:F16)/50*(E19-50))*20%,0),E19*25)</f>
        <v>374</v>
      </c>
      <c r="G19" s="26">
        <f>IF(B19&gt;0,ROUND((F19*22%),2)," ")</f>
        <v>82.28</v>
      </c>
      <c r="H19" s="26">
        <f>IF(B19&gt;0,F19+G19," ")</f>
        <v>456.28</v>
      </c>
      <c r="I19" s="28"/>
    </row>
    <row r="20" spans="1:9" ht="29.25">
      <c r="A20" s="18"/>
      <c r="B20" s="29" t="s">
        <v>304</v>
      </c>
      <c r="C20" s="20"/>
      <c r="D20" s="21">
        <f>ROUND((F20/E20),2)</f>
        <v>149.6</v>
      </c>
      <c r="E20" s="22">
        <f>E18</f>
        <v>5</v>
      </c>
      <c r="F20" s="21">
        <f>F19*200%</f>
        <v>748</v>
      </c>
      <c r="G20" s="21">
        <f>IF(B20&gt;0,ROUND((F20*22%),2)," ")</f>
        <v>164.56</v>
      </c>
      <c r="H20" s="21">
        <f>IF(B20&gt;0,F20+G20," ")</f>
        <v>912.56</v>
      </c>
      <c r="I20" s="23"/>
    </row>
    <row r="21" spans="2:8" ht="47.25" customHeight="1">
      <c r="B21" s="30" t="s">
        <v>13</v>
      </c>
      <c r="C21" s="31"/>
      <c r="D21" s="32"/>
      <c r="E21" s="33"/>
      <c r="F21" s="527" t="s">
        <v>14</v>
      </c>
      <c r="G21" s="34" t="s">
        <v>15</v>
      </c>
      <c r="H21" s="34" t="s">
        <v>16</v>
      </c>
    </row>
    <row r="22" spans="2:8" ht="21" customHeight="1">
      <c r="B22" s="35">
        <v>3</v>
      </c>
      <c r="C22" s="31" t="s">
        <v>17</v>
      </c>
      <c r="D22" s="32">
        <v>60</v>
      </c>
      <c r="E22" s="36" t="s">
        <v>18</v>
      </c>
      <c r="F22" s="528"/>
      <c r="G22" s="21">
        <v>20</v>
      </c>
      <c r="H22" s="21">
        <v>100</v>
      </c>
    </row>
    <row r="23" spans="2:8" ht="34.5" customHeight="1">
      <c r="B23" s="35">
        <v>10</v>
      </c>
      <c r="C23" s="31" t="s">
        <v>17</v>
      </c>
      <c r="D23" s="32">
        <v>50</v>
      </c>
      <c r="E23" s="36" t="s">
        <v>18</v>
      </c>
      <c r="F23" s="529" t="s">
        <v>19</v>
      </c>
      <c r="G23" s="529"/>
      <c r="H23" s="529"/>
    </row>
    <row r="24" spans="2:5" ht="15">
      <c r="B24" s="35">
        <v>15</v>
      </c>
      <c r="C24" s="31" t="s">
        <v>17</v>
      </c>
      <c r="D24" s="32">
        <v>40</v>
      </c>
      <c r="E24" s="36" t="s">
        <v>18</v>
      </c>
    </row>
    <row r="25" spans="2:8" ht="25.5" customHeight="1">
      <c r="B25" s="37" t="s">
        <v>20</v>
      </c>
      <c r="C25" s="38" t="s">
        <v>17</v>
      </c>
      <c r="D25" s="39">
        <v>30</v>
      </c>
      <c r="E25" s="40" t="s">
        <v>18</v>
      </c>
      <c r="F25" s="530" t="s">
        <v>21</v>
      </c>
      <c r="G25" s="530"/>
      <c r="H25" s="530"/>
    </row>
    <row r="26" spans="2:8" ht="12.75">
      <c r="B26" s="42"/>
      <c r="D26" s="43"/>
      <c r="E26" s="17"/>
      <c r="F26" s="530"/>
      <c r="G26" s="530"/>
      <c r="H26" s="530"/>
    </row>
    <row r="27" spans="2:8" ht="84" customHeight="1">
      <c r="B27" s="44" t="s">
        <v>22</v>
      </c>
      <c r="C27" s="12" t="s">
        <v>23</v>
      </c>
      <c r="D27" s="45" t="s">
        <v>24</v>
      </c>
      <c r="E27" s="45" t="s">
        <v>25</v>
      </c>
      <c r="F27" s="12" t="s">
        <v>26</v>
      </c>
      <c r="G27" s="46" t="s">
        <v>28</v>
      </c>
      <c r="H27" s="41"/>
    </row>
    <row r="28" spans="2:7" ht="20.25">
      <c r="B28" s="44" t="s">
        <v>27</v>
      </c>
      <c r="C28" s="47">
        <v>983.15</v>
      </c>
      <c r="D28" s="48">
        <v>1</v>
      </c>
      <c r="E28" s="47">
        <v>1560.39</v>
      </c>
      <c r="F28" s="12"/>
      <c r="G28" s="11">
        <v>2011</v>
      </c>
    </row>
    <row r="29" spans="2:6" ht="12.75">
      <c r="B29" s="49">
        <v>1</v>
      </c>
      <c r="C29" s="49">
        <v>2</v>
      </c>
      <c r="D29" s="49">
        <v>3</v>
      </c>
      <c r="E29" s="49">
        <v>4</v>
      </c>
      <c r="F29" s="49">
        <v>5</v>
      </c>
    </row>
    <row r="30" spans="2:6" ht="29.25">
      <c r="B30" s="19" t="s">
        <v>301</v>
      </c>
      <c r="C30" s="50">
        <f>F17</f>
        <v>168.3</v>
      </c>
      <c r="D30" s="48">
        <f>C30/$E$28</f>
        <v>0.10785765097187242</v>
      </c>
      <c r="E30" s="51">
        <v>1313.61</v>
      </c>
      <c r="F30" s="51"/>
    </row>
    <row r="31" spans="2:6" ht="29.25">
      <c r="B31" s="19" t="s">
        <v>302</v>
      </c>
      <c r="C31" s="50">
        <f>F18</f>
        <v>287</v>
      </c>
      <c r="D31" s="48">
        <f>C31/$E$28</f>
        <v>0.18392837688013894</v>
      </c>
      <c r="E31" s="51">
        <v>2338.96</v>
      </c>
      <c r="F31" s="51"/>
    </row>
    <row r="32" spans="2:6" ht="29.25">
      <c r="B32" s="24" t="s">
        <v>303</v>
      </c>
      <c r="C32" s="50">
        <f>F19</f>
        <v>374</v>
      </c>
      <c r="D32" s="48">
        <f>C32/$E$28</f>
        <v>0.23968366882638314</v>
      </c>
      <c r="E32" s="51">
        <v>3056.3</v>
      </c>
      <c r="F32" s="51"/>
    </row>
    <row r="33" spans="2:6" ht="29.25">
      <c r="B33" s="29" t="s">
        <v>304</v>
      </c>
      <c r="C33" s="50">
        <f>F20</f>
        <v>748</v>
      </c>
      <c r="D33" s="48">
        <f>C33/$E$28</f>
        <v>0.4793673376527663</v>
      </c>
      <c r="E33" s="51">
        <v>6224.25</v>
      </c>
      <c r="F33" s="51"/>
    </row>
  </sheetData>
  <mergeCells count="4">
    <mergeCell ref="A1:H2"/>
    <mergeCell ref="F21:F22"/>
    <mergeCell ref="F23:H23"/>
    <mergeCell ref="F25:H26"/>
  </mergeCells>
  <dataValidations count="1">
    <dataValidation type="textLength" operator="equal" showInputMessage="1" showErrorMessage="1" promptTitle="Tu są formuły, nie zmieniaj ich!" prompt="Tu są formuły, nie zmieniaj ich!" errorTitle="Tu są formuły, nie zmieniaj ich!" error="Tu są formuły, nie zmieniaj ich!" sqref="A1:H33">
      <formula1>1000</formula1>
    </dataValidation>
  </dataValidations>
  <printOptions/>
  <pageMargins left="0.75" right="0.75" top="1" bottom="1" header="0.5" footer="0.5"/>
  <pageSetup horizontalDpi="300" verticalDpi="300" orientation="portrait" paperSize="9" scale="51" r:id="rId1"/>
</worksheet>
</file>

<file path=xl/worksheets/sheet3.xml><?xml version="1.0" encoding="utf-8"?>
<worksheet xmlns="http://schemas.openxmlformats.org/spreadsheetml/2006/main" xmlns:r="http://schemas.openxmlformats.org/officeDocument/2006/relationships">
  <dimension ref="A1:W1014"/>
  <sheetViews>
    <sheetView view="pageBreakPreview" zoomScale="20" zoomScaleNormal="20" zoomScaleSheetLayoutView="20" workbookViewId="0" topLeftCell="A1">
      <selection activeCell="N15" sqref="N15"/>
    </sheetView>
  </sheetViews>
  <sheetFormatPr defaultColWidth="9.00390625" defaultRowHeight="24" customHeight="1"/>
  <cols>
    <col min="1" max="1" width="25.875" style="116" customWidth="1"/>
    <col min="2" max="2" width="36.75390625" style="116" customWidth="1"/>
    <col min="3" max="3" width="42.125" style="116" customWidth="1"/>
    <col min="4" max="4" width="44.00390625" style="116" customWidth="1"/>
    <col min="5" max="5" width="43.25390625" style="116" customWidth="1"/>
    <col min="6" max="6" width="44.125" style="116" customWidth="1"/>
    <col min="7" max="7" width="45.125" style="116" customWidth="1"/>
    <col min="8" max="8" width="45.75390625" style="116" customWidth="1"/>
    <col min="9" max="9" width="43.00390625" style="116" customWidth="1"/>
    <col min="10" max="10" width="33.00390625" style="116" customWidth="1"/>
    <col min="11" max="11" width="37.375" style="116" customWidth="1"/>
    <col min="12" max="12" width="49.875" style="116" customWidth="1"/>
    <col min="13" max="13" width="46.625" style="116" customWidth="1"/>
    <col min="14" max="14" width="43.625" style="116" customWidth="1"/>
    <col min="15" max="15" width="43.375" style="116" customWidth="1"/>
    <col min="16" max="16" width="34.00390625" style="116" customWidth="1"/>
    <col min="17" max="17" width="39.75390625" style="116" customWidth="1"/>
    <col min="18" max="18" width="43.875" style="116" customWidth="1"/>
    <col min="19" max="19" width="35.625" style="116" customWidth="1"/>
    <col min="20" max="20" width="53.375" style="116" customWidth="1"/>
    <col min="21" max="21" width="44.00390625" style="116" customWidth="1"/>
    <col min="22" max="22" width="27.75390625" style="145" customWidth="1"/>
    <col min="23" max="16384" width="15.75390625" style="116" customWidth="1"/>
  </cols>
  <sheetData>
    <row r="1" spans="1:23" s="70" customFormat="1" ht="114" customHeight="1">
      <c r="A1" s="53" t="s">
        <v>29</v>
      </c>
      <c r="B1" s="54">
        <f>IF($L$8="styczeń",160,0)+IF($L$8="luty",160,0)+IF($L$8="marzec",184,0)+IF($L$8="kwiecień",160,0)+IF($L$8="maj",168,0)+IF($L$8="czerwiec",168,0)+IF($L$8="lipiec",168,0)+IF($L$8="sierpień",176,0)+IF($L$8="wrzesień",176,0)+IF($L$8="październik",168,0)+IF($L$8="listopad",160,0)+IF($L$8="grudzień",168,0)</f>
        <v>160</v>
      </c>
      <c r="C1" s="55">
        <f>(B1/8)*6</f>
        <v>120</v>
      </c>
      <c r="D1" s="56" t="s">
        <v>30</v>
      </c>
      <c r="E1" s="57">
        <v>1386</v>
      </c>
      <c r="F1" s="58">
        <f>E1-(ROUND((E1*$B$2),2)+ROUND((E1*$H$4),2)+ROUND((E1*$F$2),2))</f>
        <v>1195.98</v>
      </c>
      <c r="G1" s="531" t="s">
        <v>31</v>
      </c>
      <c r="H1" s="532"/>
      <c r="I1" s="60">
        <v>21</v>
      </c>
      <c r="J1" s="533" t="s">
        <v>32</v>
      </c>
      <c r="K1" s="534"/>
      <c r="L1" s="62">
        <v>0.015</v>
      </c>
      <c r="M1" s="63" t="s">
        <v>33</v>
      </c>
      <c r="N1" s="61">
        <v>3113.8</v>
      </c>
      <c r="O1" s="64">
        <f>ROUND((N1*4%),2)</f>
        <v>124.55</v>
      </c>
      <c r="P1" s="64">
        <f>ROUND((N1*5%),2)</f>
        <v>155.69</v>
      </c>
      <c r="Q1" s="60">
        <f>ROUND((N1*6%),2)</f>
        <v>186.83</v>
      </c>
      <c r="R1" s="65" t="s">
        <v>34</v>
      </c>
      <c r="S1" s="66">
        <v>46.33</v>
      </c>
      <c r="T1" s="67" t="s">
        <v>35</v>
      </c>
      <c r="U1" s="55">
        <f>IF($L$8="styczeń",31,0)+IF($L$8="luty",28,0)+IF($L$8="marzec",31,0)+IF($L$8="kwiecień",30,0)+IF($L$8="maj",31,0)+IF($L$8="czerwiec",30,0)+IF($L$8="lipiec",31,0)+IF($L$8="sierpień",31,0)+IF($L$8="wrzesień",30,0)+IF($L$8="październik",31,0)+IF($L$8="listopad",30,0)+IF($L$8="grudzień",31,0)</f>
        <v>31</v>
      </c>
      <c r="V1" s="68" t="s">
        <v>36</v>
      </c>
      <c r="W1" s="69" t="s">
        <v>37</v>
      </c>
    </row>
    <row r="2" spans="1:23" s="32" customFormat="1" ht="137.25" customHeight="1">
      <c r="A2" s="71" t="s">
        <v>38</v>
      </c>
      <c r="B2" s="72">
        <v>0.0976</v>
      </c>
      <c r="C2" s="71" t="s">
        <v>39</v>
      </c>
      <c r="D2" s="72">
        <v>0.045</v>
      </c>
      <c r="E2" s="73" t="s">
        <v>40</v>
      </c>
      <c r="F2" s="72">
        <v>0.0245</v>
      </c>
      <c r="G2" s="74" t="s">
        <v>41</v>
      </c>
      <c r="H2" s="72">
        <v>0.0167</v>
      </c>
      <c r="I2" s="75" t="s">
        <v>42</v>
      </c>
      <c r="J2" s="72">
        <v>0.09</v>
      </c>
      <c r="K2" s="59" t="s">
        <v>43</v>
      </c>
      <c r="L2" s="62">
        <v>0.0245</v>
      </c>
      <c r="M2" s="74" t="s">
        <v>44</v>
      </c>
      <c r="N2" s="72">
        <v>0.001</v>
      </c>
      <c r="O2" s="59" t="s">
        <v>45</v>
      </c>
      <c r="P2" s="64">
        <v>111.25</v>
      </c>
      <c r="Q2" s="60">
        <v>139.06</v>
      </c>
      <c r="R2" s="531" t="s">
        <v>46</v>
      </c>
      <c r="S2" s="532"/>
      <c r="T2" s="535"/>
      <c r="U2" s="76">
        <v>520</v>
      </c>
      <c r="V2" s="77" t="s">
        <v>47</v>
      </c>
      <c r="W2" s="78" t="s">
        <v>48</v>
      </c>
    </row>
    <row r="3" spans="1:23" s="32" customFormat="1" ht="95.25" customHeight="1">
      <c r="A3" s="536" t="s">
        <v>49</v>
      </c>
      <c r="B3" s="537"/>
      <c r="C3" s="79">
        <v>0.8358</v>
      </c>
      <c r="D3" s="531" t="s">
        <v>50</v>
      </c>
      <c r="E3" s="532"/>
      <c r="F3" s="80">
        <v>3359</v>
      </c>
      <c r="G3" s="81" t="s">
        <v>51</v>
      </c>
      <c r="H3" s="60"/>
      <c r="I3" s="531" t="s">
        <v>52</v>
      </c>
      <c r="J3" s="532"/>
      <c r="K3" s="532"/>
      <c r="L3" s="82" t="s">
        <v>53</v>
      </c>
      <c r="M3" s="538" t="s">
        <v>54</v>
      </c>
      <c r="N3" s="83">
        <v>0.18</v>
      </c>
      <c r="O3" s="83">
        <v>0.32</v>
      </c>
      <c r="P3" s="84"/>
      <c r="Q3" s="85" t="s">
        <v>55</v>
      </c>
      <c r="R3" s="62">
        <v>0.0775</v>
      </c>
      <c r="S3" s="540" t="s">
        <v>305</v>
      </c>
      <c r="T3" s="541"/>
      <c r="U3" s="62"/>
      <c r="V3" s="77" t="s">
        <v>56</v>
      </c>
      <c r="W3" s="78" t="s">
        <v>57</v>
      </c>
    </row>
    <row r="4" spans="1:23" s="32" customFormat="1" ht="151.5" customHeight="1">
      <c r="A4" s="542" t="s">
        <v>58</v>
      </c>
      <c r="B4" s="543"/>
      <c r="C4" s="543"/>
      <c r="D4" s="86">
        <f>ROUND((E1*80%),2)</f>
        <v>1108.8</v>
      </c>
      <c r="E4" s="58">
        <f>D4-(ROUND((D4*$B$2),2)+ROUND((D4*$H$4),2)+ROUND((D4*$F$2),2))</f>
        <v>956.78</v>
      </c>
      <c r="F4" s="544" t="s">
        <v>59</v>
      </c>
      <c r="G4" s="544"/>
      <c r="H4" s="72">
        <v>0.015</v>
      </c>
      <c r="M4" s="539"/>
      <c r="N4" s="87">
        <v>85528</v>
      </c>
      <c r="O4" s="87">
        <v>85528</v>
      </c>
      <c r="P4" s="88"/>
      <c r="Q4" s="89" t="s">
        <v>306</v>
      </c>
      <c r="R4" s="90">
        <v>100770</v>
      </c>
      <c r="S4" s="91" t="s">
        <v>60</v>
      </c>
      <c r="T4" s="92"/>
      <c r="V4" s="77" t="s">
        <v>61</v>
      </c>
      <c r="W4" s="93"/>
    </row>
    <row r="5" spans="1:23" s="32" customFormat="1" ht="66" customHeight="1">
      <c r="A5" s="545" t="str">
        <f>IF(L8="kwiecień","ZMIENIĆ EKWIW. BHP NA LETNI"," ")</f>
        <v> </v>
      </c>
      <c r="B5" s="546"/>
      <c r="C5" s="546"/>
      <c r="D5" s="546"/>
      <c r="E5" s="546"/>
      <c r="F5" s="546"/>
      <c r="G5" s="547"/>
      <c r="H5" s="92"/>
      <c r="I5" s="92"/>
      <c r="J5" s="92"/>
      <c r="K5" s="92"/>
      <c r="L5" s="92"/>
      <c r="M5" s="92"/>
      <c r="S5" s="92"/>
      <c r="T5" s="92"/>
      <c r="V5" s="77" t="s">
        <v>62</v>
      </c>
      <c r="W5" s="93"/>
    </row>
    <row r="6" spans="1:23" s="94" customFormat="1" ht="66.75" customHeight="1">
      <c r="A6" s="94" t="str">
        <f>IF(L8="wrzesień","SPRAWDŹ KOMU NALEŻY WYPŁACIĆ DODATEK Z TYTUŁU ROZPOCZĘCIA ROKU SZKOLNEGO"," ")</f>
        <v> </v>
      </c>
      <c r="F6" s="95"/>
      <c r="G6" s="95"/>
      <c r="H6" s="96"/>
      <c r="J6" s="97"/>
      <c r="K6" s="98" t="s">
        <v>63</v>
      </c>
      <c r="L6" s="99"/>
      <c r="M6" s="548" t="s">
        <v>64</v>
      </c>
      <c r="N6" s="548"/>
      <c r="S6" s="101"/>
      <c r="T6" s="101"/>
      <c r="U6" s="101"/>
      <c r="V6" s="102" t="s">
        <v>65</v>
      </c>
      <c r="W6" s="103"/>
    </row>
    <row r="7" spans="1:23" s="94" customFormat="1" ht="69.75" customHeight="1">
      <c r="A7" s="95"/>
      <c r="B7" s="95"/>
      <c r="C7" s="95"/>
      <c r="D7" s="95"/>
      <c r="E7" s="95"/>
      <c r="G7" s="95"/>
      <c r="H7" s="104"/>
      <c r="J7" s="105"/>
      <c r="K7" s="98" t="s">
        <v>66</v>
      </c>
      <c r="L7" s="106"/>
      <c r="N7" s="549"/>
      <c r="O7" s="550"/>
      <c r="P7" s="550"/>
      <c r="Q7" s="550"/>
      <c r="R7" s="550"/>
      <c r="S7" s="550"/>
      <c r="T7" s="550"/>
      <c r="U7" s="551"/>
      <c r="V7" s="102" t="s">
        <v>67</v>
      </c>
      <c r="W7" s="103"/>
    </row>
    <row r="8" spans="1:23" s="94" customFormat="1" ht="74.25" customHeight="1">
      <c r="A8" s="39" t="s">
        <v>68</v>
      </c>
      <c r="B8" s="95"/>
      <c r="C8" s="95"/>
      <c r="D8" s="95"/>
      <c r="E8" s="95"/>
      <c r="F8" s="107"/>
      <c r="G8" s="107"/>
      <c r="I8" s="108"/>
      <c r="J8" s="98" t="s">
        <v>69</v>
      </c>
      <c r="K8" s="97"/>
      <c r="L8" s="552" t="s">
        <v>36</v>
      </c>
      <c r="M8" s="552"/>
      <c r="N8" s="100" t="s">
        <v>70</v>
      </c>
      <c r="S8" s="95"/>
      <c r="T8" s="109"/>
      <c r="U8" s="110"/>
      <c r="V8" s="102" t="s">
        <v>71</v>
      </c>
      <c r="W8" s="103"/>
    </row>
    <row r="9" spans="1:23" ht="33" customHeight="1" thickBot="1">
      <c r="A9" s="111" t="s">
        <v>72</v>
      </c>
      <c r="B9" s="112" t="s">
        <v>73</v>
      </c>
      <c r="C9" s="113"/>
      <c r="D9" s="113"/>
      <c r="E9" s="114"/>
      <c r="F9" s="553" t="s">
        <v>74</v>
      </c>
      <c r="G9" s="555" t="s">
        <v>75</v>
      </c>
      <c r="H9" s="557" t="s">
        <v>76</v>
      </c>
      <c r="I9" s="557"/>
      <c r="J9" s="558"/>
      <c r="K9" s="559"/>
      <c r="L9" s="560"/>
      <c r="M9" s="560"/>
      <c r="N9" s="560"/>
      <c r="O9" s="561"/>
      <c r="P9" s="559"/>
      <c r="Q9" s="560"/>
      <c r="R9" s="560"/>
      <c r="S9" s="560"/>
      <c r="T9" s="565" t="s">
        <v>77</v>
      </c>
      <c r="U9" s="566"/>
      <c r="V9" s="102" t="s">
        <v>78</v>
      </c>
      <c r="W9" s="115"/>
    </row>
    <row r="10" spans="1:23" ht="44.25" customHeight="1" thickBot="1" thickTop="1">
      <c r="A10" s="567">
        <v>1</v>
      </c>
      <c r="B10" s="571" t="s">
        <v>79</v>
      </c>
      <c r="C10" s="571" t="s">
        <v>80</v>
      </c>
      <c r="D10" s="573" t="s">
        <v>81</v>
      </c>
      <c r="E10" s="573"/>
      <c r="F10" s="554"/>
      <c r="G10" s="556"/>
      <c r="H10" s="574" t="s">
        <v>82</v>
      </c>
      <c r="I10" s="574"/>
      <c r="J10" s="574"/>
      <c r="K10" s="574"/>
      <c r="L10" s="575">
        <f>P10+S16</f>
        <v>1501.5</v>
      </c>
      <c r="M10" s="576"/>
      <c r="N10" s="577" t="s">
        <v>83</v>
      </c>
      <c r="O10" s="578"/>
      <c r="P10" s="575">
        <f>Q11+M16</f>
        <v>1501.5</v>
      </c>
      <c r="Q10" s="576"/>
      <c r="R10" s="119"/>
      <c r="S10" s="120"/>
      <c r="T10" s="121"/>
      <c r="U10" s="122"/>
      <c r="V10" s="102" t="s">
        <v>84</v>
      </c>
      <c r="W10" s="115"/>
    </row>
    <row r="11" spans="1:23" ht="53.25" customHeight="1">
      <c r="A11" s="568"/>
      <c r="B11" s="572"/>
      <c r="C11" s="572"/>
      <c r="D11" s="124" t="s">
        <v>85</v>
      </c>
      <c r="E11" s="124" t="s">
        <v>86</v>
      </c>
      <c r="F11" s="554"/>
      <c r="G11" s="556"/>
      <c r="H11" s="562" t="s">
        <v>87</v>
      </c>
      <c r="I11" s="563"/>
      <c r="J11" s="563"/>
      <c r="K11" s="563"/>
      <c r="L11" s="563"/>
      <c r="M11" s="563"/>
      <c r="N11" s="563"/>
      <c r="O11" s="563"/>
      <c r="P11" s="564"/>
      <c r="Q11" s="579">
        <f>SUM(H15:S15)</f>
        <v>1501.5</v>
      </c>
      <c r="R11" s="580"/>
      <c r="S11" s="125"/>
      <c r="T11" s="581"/>
      <c r="U11" s="582"/>
      <c r="V11" s="102" t="s">
        <v>88</v>
      </c>
      <c r="W11" s="115"/>
    </row>
    <row r="12" spans="1:23" ht="38.25" customHeight="1">
      <c r="A12" s="568"/>
      <c r="B12" s="572"/>
      <c r="C12" s="126"/>
      <c r="D12" s="124" t="s">
        <v>89</v>
      </c>
      <c r="E12" s="124" t="s">
        <v>89</v>
      </c>
      <c r="F12" s="554"/>
      <c r="G12" s="127"/>
      <c r="H12" s="128" t="s">
        <v>90</v>
      </c>
      <c r="I12" s="129" t="s">
        <v>91</v>
      </c>
      <c r="J12" s="129" t="s">
        <v>92</v>
      </c>
      <c r="K12" s="130" t="s">
        <v>93</v>
      </c>
      <c r="L12" s="583" t="s">
        <v>94</v>
      </c>
      <c r="M12" s="583" t="s">
        <v>95</v>
      </c>
      <c r="N12" s="583" t="s">
        <v>96</v>
      </c>
      <c r="O12" s="585" t="s">
        <v>97</v>
      </c>
      <c r="P12" s="583" t="s">
        <v>98</v>
      </c>
      <c r="Q12" s="587" t="s">
        <v>99</v>
      </c>
      <c r="R12" s="589" t="s">
        <v>100</v>
      </c>
      <c r="S12" s="591" t="s">
        <v>101</v>
      </c>
      <c r="T12" s="581"/>
      <c r="U12" s="582"/>
      <c r="V12" s="102" t="s">
        <v>102</v>
      </c>
      <c r="W12" s="115"/>
    </row>
    <row r="13" spans="1:23" ht="42" customHeight="1">
      <c r="A13" s="568"/>
      <c r="B13" s="572"/>
      <c r="C13" s="131"/>
      <c r="D13" s="131"/>
      <c r="E13" s="131"/>
      <c r="F13" s="554"/>
      <c r="G13" s="127"/>
      <c r="H13" s="132" t="s">
        <v>103</v>
      </c>
      <c r="I13" s="133" t="s">
        <v>104</v>
      </c>
      <c r="J13" s="134">
        <v>0</v>
      </c>
      <c r="K13" s="135">
        <v>1</v>
      </c>
      <c r="L13" s="584"/>
      <c r="M13" s="584"/>
      <c r="N13" s="584"/>
      <c r="O13" s="586"/>
      <c r="P13" s="584"/>
      <c r="Q13" s="588"/>
      <c r="R13" s="590"/>
      <c r="S13" s="592"/>
      <c r="T13" s="581"/>
      <c r="U13" s="582"/>
      <c r="V13" s="102"/>
      <c r="W13" s="115"/>
    </row>
    <row r="14" spans="1:23" ht="51" customHeight="1">
      <c r="A14" s="568"/>
      <c r="B14" s="137">
        <f>G14</f>
        <v>0</v>
      </c>
      <c r="C14" s="137"/>
      <c r="D14" s="137"/>
      <c r="E14" s="138"/>
      <c r="F14" s="138"/>
      <c r="G14" s="139">
        <f>B$1*B39</f>
        <v>0</v>
      </c>
      <c r="H14" s="140">
        <f aca="true" t="shared" si="0" ref="H14:S14">IF(H15&gt;0,1,0)</f>
        <v>1</v>
      </c>
      <c r="I14" s="141">
        <f t="shared" si="0"/>
        <v>0</v>
      </c>
      <c r="J14" s="141">
        <f t="shared" si="0"/>
        <v>0</v>
      </c>
      <c r="K14" s="142">
        <f t="shared" si="0"/>
        <v>0</v>
      </c>
      <c r="L14" s="142">
        <f t="shared" si="0"/>
        <v>0</v>
      </c>
      <c r="M14" s="142">
        <f t="shared" si="0"/>
        <v>1</v>
      </c>
      <c r="N14" s="142">
        <f t="shared" si="0"/>
        <v>0</v>
      </c>
      <c r="O14" s="141">
        <f t="shared" si="0"/>
        <v>0</v>
      </c>
      <c r="P14" s="142">
        <f t="shared" si="0"/>
        <v>0</v>
      </c>
      <c r="Q14" s="142">
        <f t="shared" si="0"/>
        <v>0</v>
      </c>
      <c r="R14" s="143">
        <f t="shared" si="0"/>
        <v>0</v>
      </c>
      <c r="S14" s="144">
        <f t="shared" si="0"/>
        <v>0</v>
      </c>
      <c r="T14" s="593"/>
      <c r="U14" s="594"/>
      <c r="V14" s="145">
        <f>IF(E18&gt;0,(ROUND(((C32-(C32*(B$2+H$4+F$2)))*E17/30),2)*E18),0)+IF(F18&gt;0,(ROUND(((C32-(C32*(B$2+H$4+F$2)))*F17/30),2)*F18),0)</f>
        <v>0</v>
      </c>
      <c r="W14" s="102" t="s">
        <v>105</v>
      </c>
    </row>
    <row r="15" spans="1:23" ht="156" customHeight="1" thickBot="1">
      <c r="A15" s="568"/>
      <c r="B15" s="595" t="s">
        <v>106</v>
      </c>
      <c r="C15" s="595" t="s">
        <v>107</v>
      </c>
      <c r="D15" s="596" t="s">
        <v>108</v>
      </c>
      <c r="E15" s="148" t="s">
        <v>109</v>
      </c>
      <c r="F15" s="149"/>
      <c r="G15" s="597" t="s">
        <v>110</v>
      </c>
      <c r="H15" s="150">
        <f>'Ile zapłacę'!E7</f>
        <v>1386</v>
      </c>
      <c r="I15" s="151">
        <f>ROUND(D14*ROUND(B32*150%,2)+E14*ROUND(B32*200%,2),2)</f>
        <v>0</v>
      </c>
      <c r="J15" s="151">
        <f>ROUND((J13*H15),2)</f>
        <v>0</v>
      </c>
      <c r="K15" s="151"/>
      <c r="L15" s="151">
        <f>IF(C14&gt;0,C14*ROUND(B32*U$3,2),0)+IF(U$3=0,IF(C14&gt;0,C14*ROUND(20%*ROUND(E$1/G14,2),2),0))</f>
        <v>0</v>
      </c>
      <c r="M15" s="151">
        <f>H15/12</f>
        <v>115.5</v>
      </c>
      <c r="N15" s="151">
        <f>IF(B14+D14+E14+F14&gt;0,ROUND((((H15+I15+J15+L15+O15)/(B14+D14+E14+F14))*D18),2),B32*D18)</f>
        <v>0</v>
      </c>
      <c r="O15" s="151">
        <f>ROUND((F14*B32),2)</f>
        <v>0</v>
      </c>
      <c r="P15" s="151">
        <f>IF(C18&gt;0,ROUND((D27/($I$1*8*B39)),2)*C18,0)</f>
        <v>0</v>
      </c>
      <c r="Q15" s="151"/>
      <c r="R15" s="152"/>
      <c r="S15" s="153">
        <f>IF(G32&gt;500,G32-500,0)+IF(F32&gt;190,F32-190,0)</f>
        <v>0</v>
      </c>
      <c r="T15" s="593"/>
      <c r="U15" s="594"/>
      <c r="V15" s="154">
        <f>IF(E18&gt;0,(ROUND(((C32*E17)/30),2)*E18),0)+IF(F18&gt;0,(ROUND((C32/30),2)*F18),0)</f>
        <v>0</v>
      </c>
      <c r="W15" s="102" t="s">
        <v>111</v>
      </c>
    </row>
    <row r="16" spans="1:21" ht="57" customHeight="1">
      <c r="A16" s="568"/>
      <c r="B16" s="554"/>
      <c r="C16" s="554"/>
      <c r="D16" s="554"/>
      <c r="E16" s="599" t="s">
        <v>112</v>
      </c>
      <c r="F16" s="599"/>
      <c r="G16" s="598"/>
      <c r="H16" s="600" t="s">
        <v>113</v>
      </c>
      <c r="I16" s="601"/>
      <c r="J16" s="601"/>
      <c r="K16" s="601"/>
      <c r="L16" s="601"/>
      <c r="M16" s="602">
        <f>H21+I21+M17</f>
        <v>0</v>
      </c>
      <c r="N16" s="603"/>
      <c r="O16" s="604" t="s">
        <v>114</v>
      </c>
      <c r="P16" s="604"/>
      <c r="Q16" s="604"/>
      <c r="R16" s="604"/>
      <c r="S16" s="156">
        <f>S17+O21</f>
        <v>0</v>
      </c>
      <c r="T16" s="605"/>
      <c r="U16" s="606"/>
    </row>
    <row r="17" spans="1:21" ht="38.25" customHeight="1">
      <c r="A17" s="568"/>
      <c r="B17" s="157"/>
      <c r="C17" s="131"/>
      <c r="D17" s="131"/>
      <c r="E17" s="158">
        <v>0.8</v>
      </c>
      <c r="F17" s="158">
        <v>1</v>
      </c>
      <c r="G17" s="159">
        <v>0.8</v>
      </c>
      <c r="H17" s="607" t="s">
        <v>115</v>
      </c>
      <c r="I17" s="608"/>
      <c r="J17" s="609" t="s">
        <v>116</v>
      </c>
      <c r="K17" s="610"/>
      <c r="L17" s="610"/>
      <c r="M17" s="611">
        <f>SUM(J21:N21)</f>
        <v>0</v>
      </c>
      <c r="N17" s="612"/>
      <c r="O17" s="160" t="s">
        <v>117</v>
      </c>
      <c r="P17" s="613" t="s">
        <v>118</v>
      </c>
      <c r="Q17" s="614"/>
      <c r="R17" s="615"/>
      <c r="S17" s="161">
        <f>SUM(P21:S21)</f>
        <v>0</v>
      </c>
      <c r="T17" s="616"/>
      <c r="U17" s="617"/>
    </row>
    <row r="18" spans="1:21" ht="40.5" customHeight="1">
      <c r="A18" s="568"/>
      <c r="B18" s="137"/>
      <c r="C18" s="137"/>
      <c r="D18" s="137"/>
      <c r="E18" s="137"/>
      <c r="F18" s="137"/>
      <c r="G18" s="139"/>
      <c r="H18" s="618" t="s">
        <v>119</v>
      </c>
      <c r="I18" s="162"/>
      <c r="J18" s="620" t="s">
        <v>120</v>
      </c>
      <c r="K18" s="595" t="s">
        <v>121</v>
      </c>
      <c r="L18" s="595" t="s">
        <v>122</v>
      </c>
      <c r="M18" s="595" t="s">
        <v>123</v>
      </c>
      <c r="N18" s="163" t="s">
        <v>124</v>
      </c>
      <c r="O18" s="622" t="s">
        <v>125</v>
      </c>
      <c r="P18" s="624" t="s">
        <v>126</v>
      </c>
      <c r="Q18" s="584" t="s">
        <v>127</v>
      </c>
      <c r="R18" s="634" t="s">
        <v>128</v>
      </c>
      <c r="S18" s="633" t="s">
        <v>129</v>
      </c>
      <c r="T18" s="164"/>
      <c r="U18" s="165"/>
    </row>
    <row r="19" spans="1:21" ht="39.75" customHeight="1">
      <c r="A19" s="568"/>
      <c r="B19" s="571" t="s">
        <v>110</v>
      </c>
      <c r="C19" s="571" t="s">
        <v>130</v>
      </c>
      <c r="D19" s="571" t="s">
        <v>131</v>
      </c>
      <c r="E19" s="571" t="s">
        <v>132</v>
      </c>
      <c r="F19" s="571" t="s">
        <v>110</v>
      </c>
      <c r="G19" s="166" t="s">
        <v>133</v>
      </c>
      <c r="H19" s="619"/>
      <c r="I19" s="167"/>
      <c r="J19" s="621"/>
      <c r="K19" s="554"/>
      <c r="L19" s="554"/>
      <c r="M19" s="554"/>
      <c r="N19" s="168" t="s">
        <v>134</v>
      </c>
      <c r="O19" s="623"/>
      <c r="P19" s="624"/>
      <c r="Q19" s="584"/>
      <c r="R19" s="634"/>
      <c r="S19" s="633"/>
      <c r="T19" s="627">
        <f>I31-S32-P31</f>
        <v>1295.6399999999999</v>
      </c>
      <c r="U19" s="628"/>
    </row>
    <row r="20" spans="1:21" ht="35.25" customHeight="1">
      <c r="A20" s="568"/>
      <c r="B20" s="572"/>
      <c r="C20" s="572"/>
      <c r="D20" s="572"/>
      <c r="E20" s="572"/>
      <c r="F20" s="572"/>
      <c r="G20" s="139"/>
      <c r="H20" s="169">
        <f aca="true" t="shared" si="1" ref="H20:M20">IF(H21&gt;0,1,0)</f>
        <v>0</v>
      </c>
      <c r="I20" s="170">
        <f t="shared" si="1"/>
        <v>0</v>
      </c>
      <c r="J20" s="171">
        <f t="shared" si="1"/>
        <v>0</v>
      </c>
      <c r="K20" s="172">
        <f t="shared" si="1"/>
        <v>0</v>
      </c>
      <c r="L20" s="173">
        <f t="shared" si="1"/>
        <v>0</v>
      </c>
      <c r="M20" s="173">
        <f t="shared" si="1"/>
        <v>0</v>
      </c>
      <c r="N20" s="174">
        <v>0</v>
      </c>
      <c r="O20" s="175">
        <f>IF(O21&gt;0,1,0)</f>
        <v>0</v>
      </c>
      <c r="P20" s="171">
        <f>IF(P21&gt;0,1,0)</f>
        <v>0</v>
      </c>
      <c r="Q20" s="173">
        <f>IF(Q21&gt;0,1,0)</f>
        <v>0</v>
      </c>
      <c r="R20" s="173">
        <f>IF(R21&gt;0,1,0)</f>
        <v>0</v>
      </c>
      <c r="S20" s="176">
        <f>IF(S21&gt;0,1,0)</f>
        <v>0</v>
      </c>
      <c r="T20" s="627"/>
      <c r="U20" s="628"/>
    </row>
    <row r="21" spans="1:21" ht="46.5" customHeight="1" thickBot="1">
      <c r="A21" s="568"/>
      <c r="B21" s="177">
        <v>1</v>
      </c>
      <c r="C21" s="177">
        <v>0.8</v>
      </c>
      <c r="D21" s="572"/>
      <c r="E21" s="572"/>
      <c r="F21" s="177">
        <v>0.7</v>
      </c>
      <c r="G21" s="178">
        <v>0</v>
      </c>
      <c r="H21" s="179">
        <f>IF(E18&gt;0,ROUND((C32*E17),2)*E18,0)+IF(F18&gt;0,C32*F18,0)</f>
        <v>0</v>
      </c>
      <c r="I21" s="180"/>
      <c r="J21" s="181">
        <f>IF(G14&gt;0,IF(B14&gt;=G14,E27-((E27/22)*F27),(E27-(ROUND(((E27/22)*(((G14-B14)/8*B39)+F27)),2))))-IF(B14=0,0,0)-IF(B14&lt;=F27*8*B39,E27-ROUND(((E27/22)*(((G14-B14)/8*B39)+F27)),2),0),0)</f>
        <v>0</v>
      </c>
      <c r="K21" s="182">
        <f>G30-R21</f>
        <v>0</v>
      </c>
      <c r="L21" s="182">
        <f>IF(F32&gt;0,IF(F32&lt;190,F32,190),0)</f>
        <v>0</v>
      </c>
      <c r="M21" s="182"/>
      <c r="N21" s="183">
        <f>IF(N20&gt;0,L$3*B39*N20,0)</f>
        <v>0</v>
      </c>
      <c r="O21" s="184">
        <f>IF(C39&lt;=$P$2,IF(G32&gt;0,IF(G32&lt;500,G32,500),0),0)</f>
        <v>0</v>
      </c>
      <c r="P21" s="181">
        <f>IF(G27&gt;0,ROUND(((G27/G14)*B14),2),0)+G26</f>
        <v>0</v>
      </c>
      <c r="Q21" s="182">
        <f>IF(F25&gt;0,ROUND((F25/G14)*B14,2),0)</f>
        <v>0</v>
      </c>
      <c r="R21" s="182">
        <f>IF(G30&gt;0,IF(G30&lt;380,G30,380),0)</f>
        <v>0</v>
      </c>
      <c r="S21" s="185"/>
      <c r="T21" s="627"/>
      <c r="U21" s="628"/>
    </row>
    <row r="22" spans="1:21" ht="56.25" customHeight="1" thickBot="1" thickTop="1">
      <c r="A22" s="568"/>
      <c r="B22" s="137"/>
      <c r="C22" s="137"/>
      <c r="D22" s="137"/>
      <c r="E22" s="137"/>
      <c r="F22" s="137"/>
      <c r="G22" s="139">
        <f>IF(L10+L23-Q21-P21-K31-J21&gt;$F$1,IF(G21&gt;0,IF(((H31-S32-L37-L31-J21-K21-L21-O34+P39)*(100%-G21))&gt;=(($F$1*B39)-IF(ROUND(((ROUND(($F$1-C39),0.1)*E39)-D39),0.1)&gt;0,ROUND(((ROUND(($F$1-C39),0.1)*E39)-D39),0.1),0)),((H31-S32-L37-L31-J21-K21-L21-O34+P39)*G21)))+IF(G21&gt;0,IF(((H31-S32-L37-L31-J21-K21-L21-O34+P39)*(100%-G21))&lt;(($F$1*B39)-IF(ROUND(((ROUND(($F$1-C39),0.1)*E39)-D39),0.1)&gt;0,ROUND(((ROUND(($F$1-C39),0.1)*E39)-D39),0.1),0)),(H31-S32-L37-L31-J21-K21-L21-O34+P39)-(($F$1*B39)-IF(ROUND(((ROUND(($F$1-C39),0.1)*E39)-D39),0.1)&gt;0,ROUND(((ROUND(($F$1-C39),0.1)*E39)-D39),0.1),0)))),0)</f>
        <v>0</v>
      </c>
      <c r="H22" s="629" t="s">
        <v>135</v>
      </c>
      <c r="I22" s="630"/>
      <c r="J22" s="630"/>
      <c r="K22" s="575">
        <f>L23+P22</f>
        <v>0</v>
      </c>
      <c r="L22" s="576"/>
      <c r="M22" s="631" t="s">
        <v>136</v>
      </c>
      <c r="N22" s="632"/>
      <c r="O22" s="632"/>
      <c r="P22" s="575">
        <f>P23+S23</f>
        <v>0</v>
      </c>
      <c r="Q22" s="575"/>
      <c r="R22" s="186"/>
      <c r="S22" s="186"/>
      <c r="T22" s="187">
        <v>200</v>
      </c>
      <c r="U22" s="188">
        <f>ROUND(((1400/'[1]Li-pł zlec'!$V$1)*'[1]LI-PŁ-prac'!T22),2)+((H21+L23)-ROUND(((H21+L23)*$N$3),2))+O24+P24+P26+R26+S26-O31-L31-M31</f>
        <v>1750</v>
      </c>
    </row>
    <row r="23" spans="1:21" ht="148.5" customHeight="1">
      <c r="A23" s="568"/>
      <c r="B23" s="189" t="s">
        <v>137</v>
      </c>
      <c r="C23" s="190" t="s">
        <v>138</v>
      </c>
      <c r="D23" s="595" t="s">
        <v>139</v>
      </c>
      <c r="E23" s="649" t="s">
        <v>307</v>
      </c>
      <c r="F23" s="191" t="s">
        <v>140</v>
      </c>
      <c r="G23" s="192" t="s">
        <v>141</v>
      </c>
      <c r="H23" s="651" t="s">
        <v>142</v>
      </c>
      <c r="I23" s="652"/>
      <c r="J23" s="652"/>
      <c r="K23" s="652"/>
      <c r="L23" s="193">
        <f>SUM(H26:L26)</f>
        <v>0</v>
      </c>
      <c r="M23" s="625"/>
      <c r="N23" s="626"/>
      <c r="O23" s="626"/>
      <c r="P23" s="193"/>
      <c r="Q23" s="635"/>
      <c r="R23" s="636"/>
      <c r="S23" s="194"/>
      <c r="T23" s="637"/>
      <c r="U23" s="638"/>
    </row>
    <row r="24" spans="1:21" ht="141" customHeight="1" thickBot="1">
      <c r="A24" s="568"/>
      <c r="B24" s="195" t="s">
        <v>143</v>
      </c>
      <c r="C24" s="196"/>
      <c r="D24" s="554"/>
      <c r="E24" s="650"/>
      <c r="F24" s="197">
        <f>IF(F25&gt;0,1,0)</f>
        <v>0</v>
      </c>
      <c r="G24" s="155" t="s">
        <v>308</v>
      </c>
      <c r="H24" s="198" t="s">
        <v>144</v>
      </c>
      <c r="I24" s="199" t="s">
        <v>145</v>
      </c>
      <c r="J24" s="199" t="s">
        <v>146</v>
      </c>
      <c r="K24" s="199" t="s">
        <v>147</v>
      </c>
      <c r="L24" s="200" t="s">
        <v>148</v>
      </c>
      <c r="M24" s="201"/>
      <c r="N24" s="202"/>
      <c r="O24" s="203"/>
      <c r="P24" s="204"/>
      <c r="Q24" s="205"/>
      <c r="R24" s="206"/>
      <c r="S24" s="207"/>
      <c r="T24" s="637"/>
      <c r="U24" s="638"/>
    </row>
    <row r="25" spans="1:21" ht="51.75" customHeight="1">
      <c r="A25" s="568"/>
      <c r="B25" s="208"/>
      <c r="C25" s="595" t="s">
        <v>149</v>
      </c>
      <c r="D25" s="554"/>
      <c r="E25" s="209"/>
      <c r="F25" s="210">
        <f>IF(T11&gt;0,$H$3,0)</f>
        <v>0</v>
      </c>
      <c r="G25" s="211">
        <f>IF(G26+G27&gt;0,1,0)</f>
        <v>0</v>
      </c>
      <c r="H25" s="212">
        <f>IF(H26&gt;0,1,0)</f>
        <v>0</v>
      </c>
      <c r="I25" s="213">
        <f>IF(I26&gt;0,1,0)</f>
        <v>0</v>
      </c>
      <c r="J25" s="213">
        <f>IF(J26&gt;0,1,0)</f>
        <v>0</v>
      </c>
      <c r="K25" s="213">
        <f>IF(K26&gt;0,1,0)</f>
        <v>0</v>
      </c>
      <c r="L25" s="214">
        <f>IF(L26&gt;0,1,0)</f>
        <v>0</v>
      </c>
      <c r="M25" s="639" t="s">
        <v>150</v>
      </c>
      <c r="N25" s="640"/>
      <c r="O25" s="641"/>
      <c r="P25" s="642"/>
      <c r="Q25" s="215"/>
      <c r="R25" s="216"/>
      <c r="S25" s="217"/>
      <c r="T25" s="643"/>
      <c r="U25" s="644"/>
    </row>
    <row r="26" spans="1:21" ht="75.75" customHeight="1" thickBot="1">
      <c r="A26" s="568"/>
      <c r="B26" s="218" t="s">
        <v>151</v>
      </c>
      <c r="C26" s="554"/>
      <c r="D26" s="131"/>
      <c r="E26" s="219">
        <f>IF(E25&gt;0,C$3,0)</f>
        <v>0</v>
      </c>
      <c r="F26" s="220" t="s">
        <v>152</v>
      </c>
      <c r="G26" s="221"/>
      <c r="H26" s="179">
        <f>IF(G18&gt;0,(ROUND((C32*G17),2)*G18),0)+IF(B22&gt;0,(ROUND((C32*B21),2)*B22),0)+IF(F22&gt;0,(ROUND((C32*F21),2)*F22),0)</f>
        <v>0</v>
      </c>
      <c r="I26" s="182">
        <f>IF(E22&gt;0,(ROUND(((D32*D31)/30),2)*E22),0)</f>
        <v>0</v>
      </c>
      <c r="J26" s="182">
        <f>IF(C22&gt;0,(ROUND(C32*C21,2)*C22),0)</f>
        <v>0</v>
      </c>
      <c r="K26" s="182">
        <f>IF(D22&gt;0,(ROUND(C32,2)*D22),0)</f>
        <v>0</v>
      </c>
      <c r="L26" s="222">
        <f>E32</f>
        <v>0</v>
      </c>
      <c r="M26" s="645">
        <f>Q11+M16+L23</f>
        <v>1501.5</v>
      </c>
      <c r="N26" s="646"/>
      <c r="O26" s="202"/>
      <c r="P26" s="223"/>
      <c r="Q26" s="224"/>
      <c r="R26" s="182"/>
      <c r="S26" s="185"/>
      <c r="T26" s="647" t="s">
        <v>153</v>
      </c>
      <c r="U26" s="648"/>
    </row>
    <row r="27" spans="1:21" ht="59.25" customHeight="1" thickTop="1">
      <c r="A27" s="568"/>
      <c r="B27" s="208"/>
      <c r="C27" s="208"/>
      <c r="D27" s="208"/>
      <c r="E27" s="203">
        <f>ROUND((E25*E26),2)</f>
        <v>0</v>
      </c>
      <c r="F27" s="225"/>
      <c r="G27" s="226"/>
      <c r="H27" s="653" t="s">
        <v>309</v>
      </c>
      <c r="I27" s="655" t="s">
        <v>154</v>
      </c>
      <c r="J27" s="657" t="s">
        <v>155</v>
      </c>
      <c r="K27" s="660" t="s">
        <v>156</v>
      </c>
      <c r="L27" s="661" t="s">
        <v>157</v>
      </c>
      <c r="M27" s="661"/>
      <c r="N27" s="661"/>
      <c r="O27" s="662"/>
      <c r="P27" s="663" t="s">
        <v>158</v>
      </c>
      <c r="Q27" s="227" t="s">
        <v>159</v>
      </c>
      <c r="R27" s="228" t="s">
        <v>160</v>
      </c>
      <c r="S27" s="229" t="s">
        <v>161</v>
      </c>
      <c r="T27" s="647" t="s">
        <v>162</v>
      </c>
      <c r="U27" s="648"/>
    </row>
    <row r="28" spans="1:21" ht="182.25" customHeight="1">
      <c r="A28" s="568"/>
      <c r="B28" s="664" t="s">
        <v>163</v>
      </c>
      <c r="C28" s="117" t="s">
        <v>164</v>
      </c>
      <c r="D28" s="230" t="s">
        <v>165</v>
      </c>
      <c r="E28" s="146" t="s">
        <v>166</v>
      </c>
      <c r="F28" s="666" t="s">
        <v>167</v>
      </c>
      <c r="G28" s="231" t="s">
        <v>168</v>
      </c>
      <c r="H28" s="654"/>
      <c r="I28" s="656"/>
      <c r="J28" s="658"/>
      <c r="K28" s="584"/>
      <c r="L28" s="232" t="s">
        <v>169</v>
      </c>
      <c r="M28" s="123" t="s">
        <v>170</v>
      </c>
      <c r="N28" s="136" t="s">
        <v>171</v>
      </c>
      <c r="O28" s="136" t="s">
        <v>172</v>
      </c>
      <c r="P28" s="556"/>
      <c r="Q28" s="233">
        <f>ROUND(IF(S33&gt;$N$4,IF(S33&lt;=$O$4,7866.25+((S33-$N$4)*$O$3)),0)+IF(S33&gt;$O$4,20177.65+((S33-$O$4)*$P$3),0)+IF(S33&lt;=$N$4,IF(S33*E39&gt;0,S33*E39),0),0.1)</f>
        <v>0</v>
      </c>
      <c r="R28" s="234">
        <f>IF(L23&gt;0,ROUND((ROUND((L23),0.1)*E39),0.1),0)</f>
        <v>0</v>
      </c>
      <c r="S28" s="235">
        <f>IF(Q28+R28-D39&gt;=0,Q28+R28-D39,0)+IF(D39-Q28+R28&gt;0&lt;D39+0.001,Q28+R28-D39,0)</f>
        <v>0</v>
      </c>
      <c r="T28" s="647" t="s">
        <v>173</v>
      </c>
      <c r="U28" s="648"/>
    </row>
    <row r="29" spans="1:21" ht="135" customHeight="1">
      <c r="A29" s="568"/>
      <c r="B29" s="665"/>
      <c r="C29" s="230"/>
      <c r="D29" s="236"/>
      <c r="E29" s="237"/>
      <c r="F29" s="667"/>
      <c r="G29" s="239" t="s">
        <v>310</v>
      </c>
      <c r="H29" s="654"/>
      <c r="I29" s="656"/>
      <c r="J29" s="658"/>
      <c r="K29" s="584"/>
      <c r="L29" s="123"/>
      <c r="M29" s="240"/>
      <c r="N29" s="241"/>
      <c r="O29" s="136"/>
      <c r="P29" s="556"/>
      <c r="Q29" s="668" t="s">
        <v>174</v>
      </c>
      <c r="R29" s="669"/>
      <c r="S29" s="235">
        <f>ROUND(IF(S28&gt;=L39,S28-L39,0),0.1)</f>
        <v>0</v>
      </c>
      <c r="T29" s="242" t="str">
        <f>L$8</f>
        <v>styczeń</v>
      </c>
      <c r="U29" s="243" t="str">
        <f>N$8</f>
        <v>2011 r.</v>
      </c>
    </row>
    <row r="30" spans="1:21" ht="153" customHeight="1">
      <c r="A30" s="568"/>
      <c r="B30" s="244">
        <f>IF(B31=0,IF(T11&gt;0,IF(T16&gt;0,IF(T16="I kl",O$1)+IF(T16="II kl",P$1)+IF(T16="III kl",Q$1),ROUND((E$1*B39),2)),0),0)</f>
        <v>0</v>
      </c>
      <c r="C30" s="118" t="s">
        <v>175</v>
      </c>
      <c r="D30" s="123" t="s">
        <v>176</v>
      </c>
      <c r="E30" s="245"/>
      <c r="F30" s="667"/>
      <c r="G30" s="139"/>
      <c r="H30" s="246">
        <f>IF(H31&gt;0,1,0)</f>
        <v>1</v>
      </c>
      <c r="I30" s="247">
        <f>IF(I31&gt;0,1,0)</f>
        <v>1</v>
      </c>
      <c r="J30" s="658"/>
      <c r="K30" s="248">
        <f aca="true" t="shared" si="2" ref="K30:P30">IF(K31&gt;0,1,0)</f>
        <v>1</v>
      </c>
      <c r="L30" s="249">
        <f t="shared" si="2"/>
        <v>0</v>
      </c>
      <c r="M30" s="250">
        <f t="shared" si="2"/>
        <v>0</v>
      </c>
      <c r="N30" s="249">
        <f t="shared" si="2"/>
        <v>0</v>
      </c>
      <c r="O30" s="251">
        <f t="shared" si="2"/>
        <v>0</v>
      </c>
      <c r="P30" s="252">
        <f t="shared" si="2"/>
        <v>1</v>
      </c>
      <c r="Q30" s="670" t="s">
        <v>177</v>
      </c>
      <c r="R30" s="253" t="s">
        <v>178</v>
      </c>
      <c r="S30" s="235">
        <v>0</v>
      </c>
      <c r="T30" s="647" t="s">
        <v>179</v>
      </c>
      <c r="U30" s="648"/>
    </row>
    <row r="31" spans="1:21" ht="76.5" customHeight="1" thickBot="1">
      <c r="A31" s="568"/>
      <c r="B31" s="254"/>
      <c r="C31" s="230"/>
      <c r="D31" s="177">
        <v>0.9</v>
      </c>
      <c r="E31" s="255">
        <f>IF(E29&gt;0,$U$1-E30,0)</f>
        <v>0</v>
      </c>
      <c r="F31" s="238">
        <f>IF(F32&gt;0,1,0)</f>
        <v>0</v>
      </c>
      <c r="G31" s="256" t="s">
        <v>180</v>
      </c>
      <c r="H31" s="257">
        <f>P10+L23-P39</f>
        <v>1295.6399999999999</v>
      </c>
      <c r="I31" s="233">
        <f>L10+K22</f>
        <v>1501.5</v>
      </c>
      <c r="J31" s="659"/>
      <c r="K31" s="244">
        <f>S15+K21+L21+O21+R21+O34+L37-N31</f>
        <v>205.86</v>
      </c>
      <c r="L31" s="244"/>
      <c r="M31" s="244">
        <f>G20+IF(G22&gt;0,G22,0)</f>
        <v>0</v>
      </c>
      <c r="N31" s="244">
        <f>L37-L39</f>
        <v>0</v>
      </c>
      <c r="O31" s="244"/>
      <c r="P31" s="258">
        <f>SUM(K31:O31)</f>
        <v>205.86</v>
      </c>
      <c r="Q31" s="671"/>
      <c r="R31" s="259" t="s">
        <v>181</v>
      </c>
      <c r="S31" s="235">
        <v>0</v>
      </c>
      <c r="T31" s="647" t="s">
        <v>182</v>
      </c>
      <c r="U31" s="648"/>
    </row>
    <row r="32" spans="1:21" ht="97.5" customHeight="1" thickBot="1" thickTop="1">
      <c r="A32" s="569"/>
      <c r="B32" s="244">
        <f>IF(B31=0,ROUND(IF(B30&gt;0,CEILING((B30/G14),0.01),B31),2),B31)</f>
        <v>0</v>
      </c>
      <c r="C32" s="244">
        <f>IF(T11&gt;0,(IF(C29&gt;0,ROUND(((C29-(C29*(B35+C35+D35)))/30),2),0)+IF(C31&gt;0,ROUND((C31/30),2),0))+(IF(IF(C29&gt;0,ROUND(((C29-(C29*(B35+C35+D35)))/30),2),0)+IF(C31&gt;0,ROUND((C31/30),2),0)&lt;ROUND((($F$1*B39)/30),2),(IF(C29+C31&gt;0,ROUND((($F$1*B39)/30),2)-(IF(C29&gt;0,ROUND(((C29-(C29*(B35+C35+D35)))/30),2),0)+IF(C31&gt;0,ROUND((C31/30),2),0)))),0)),0)</f>
        <v>0</v>
      </c>
      <c r="D32" s="244"/>
      <c r="E32" s="244">
        <f>IF(E31&gt;0,IF(ROUND(E29-((E29/30)*E30),2)-H34+O34&gt;0,ROUND(E29-((E29/30)*E30),2)-H34+O34,0),0)</f>
        <v>0</v>
      </c>
      <c r="F32" s="137"/>
      <c r="G32" s="139"/>
      <c r="H32" s="672" t="s">
        <v>183</v>
      </c>
      <c r="I32" s="673"/>
      <c r="J32" s="673"/>
      <c r="K32" s="673"/>
      <c r="L32" s="673"/>
      <c r="M32" s="674" t="s">
        <v>184</v>
      </c>
      <c r="N32" s="675"/>
      <c r="O32" s="260" t="s">
        <v>185</v>
      </c>
      <c r="P32" s="261" t="s">
        <v>186</v>
      </c>
      <c r="Q32" s="676" t="s">
        <v>187</v>
      </c>
      <c r="R32" s="677"/>
      <c r="S32" s="262">
        <f>ROUND((IF(S29-S30&gt;=0,S29-S30,0)+S31),0.1)</f>
        <v>0</v>
      </c>
      <c r="T32" s="263" t="str">
        <f>L$8</f>
        <v>styczeń</v>
      </c>
      <c r="U32" s="264" t="str">
        <f>N$8</f>
        <v>2011 r.</v>
      </c>
    </row>
    <row r="33" spans="1:21" ht="137.25" customHeight="1" thickBot="1" thickTop="1">
      <c r="A33" s="568"/>
      <c r="B33" s="678" t="s">
        <v>188</v>
      </c>
      <c r="C33" s="679"/>
      <c r="D33" s="679"/>
      <c r="E33" s="680"/>
      <c r="F33" s="265" t="s">
        <v>189</v>
      </c>
      <c r="G33" s="266" t="s">
        <v>190</v>
      </c>
      <c r="H33" s="267" t="s">
        <v>191</v>
      </c>
      <c r="I33" s="268" t="s">
        <v>192</v>
      </c>
      <c r="J33" s="269" t="s">
        <v>193</v>
      </c>
      <c r="K33" s="238" t="s">
        <v>194</v>
      </c>
      <c r="L33" s="270" t="s">
        <v>195</v>
      </c>
      <c r="M33" s="198" t="s">
        <v>196</v>
      </c>
      <c r="N33" s="271" t="s">
        <v>197</v>
      </c>
      <c r="O33" s="272" t="s">
        <v>198</v>
      </c>
      <c r="P33" s="273" t="s">
        <v>199</v>
      </c>
      <c r="Q33" s="274" t="s">
        <v>200</v>
      </c>
      <c r="R33" s="275" t="s">
        <v>201</v>
      </c>
      <c r="S33" s="276">
        <f>IF(ROUND((P10-P39-C39),0.1)&gt;0,ROUND((P10-P39-C39),0.1),0)</f>
        <v>1296</v>
      </c>
      <c r="T33" s="277"/>
      <c r="U33" s="278"/>
    </row>
    <row r="34" spans="1:21" ht="111" customHeight="1" thickTop="1">
      <c r="A34" s="568"/>
      <c r="B34" s="279" t="s">
        <v>202</v>
      </c>
      <c r="C34" s="279" t="s">
        <v>203</v>
      </c>
      <c r="D34" s="279" t="s">
        <v>204</v>
      </c>
      <c r="E34" s="279" t="s">
        <v>205</v>
      </c>
      <c r="F34" s="279" t="s">
        <v>206</v>
      </c>
      <c r="G34" s="280">
        <f>ROUND((H34*G36),2)</f>
        <v>0</v>
      </c>
      <c r="H34" s="281">
        <f>Q11+O21</f>
        <v>1501.5</v>
      </c>
      <c r="I34" s="282">
        <f>Q11+O21</f>
        <v>1501.5</v>
      </c>
      <c r="J34" s="282">
        <f>Q11+O21</f>
        <v>1501.5</v>
      </c>
      <c r="K34" s="282">
        <f>Q11+O21</f>
        <v>1501.5</v>
      </c>
      <c r="L34" s="283">
        <f>Q11+H21+I21-O34+O21</f>
        <v>1295.6399999999999</v>
      </c>
      <c r="M34" s="284">
        <f>IF(D29&gt;0,IF(D29&lt;$U$1,ROUND((($E$1/$U$1)*D29),2),$E$1))+IF(K26&gt;0,K26,0)</f>
        <v>0</v>
      </c>
      <c r="N34" s="285">
        <f>M34</f>
        <v>0</v>
      </c>
      <c r="O34" s="286">
        <f>SUM(H37:J37)</f>
        <v>205.86</v>
      </c>
      <c r="P34" s="287">
        <f>IF(P35&gt;0,1,0)</f>
        <v>1</v>
      </c>
      <c r="Q34" s="288">
        <f>ROUND((H34-O21-P39+H21+I21)*$R$3,2)</f>
        <v>100.41</v>
      </c>
      <c r="R34" s="681" t="s">
        <v>207</v>
      </c>
      <c r="S34" s="683" t="s">
        <v>311</v>
      </c>
      <c r="T34" s="289"/>
      <c r="U34" s="278"/>
    </row>
    <row r="35" spans="1:21" ht="79.5" customHeight="1">
      <c r="A35" s="568"/>
      <c r="B35" s="158">
        <f>IF(H34&gt;0,B$2,0)</f>
        <v>0.0976</v>
      </c>
      <c r="C35" s="158">
        <f>IF(I34&gt;0,H$4,0)</f>
        <v>0.015</v>
      </c>
      <c r="D35" s="158">
        <f>IF(J34&gt;0,F$2,0)</f>
        <v>0.0245</v>
      </c>
      <c r="E35" s="158" t="s">
        <v>208</v>
      </c>
      <c r="F35" s="290" t="s">
        <v>209</v>
      </c>
      <c r="G35" s="291">
        <v>0</v>
      </c>
      <c r="H35" s="685" t="s">
        <v>210</v>
      </c>
      <c r="I35" s="686"/>
      <c r="J35" s="686"/>
      <c r="K35" s="686"/>
      <c r="L35" s="686"/>
      <c r="M35" s="292" t="s">
        <v>211</v>
      </c>
      <c r="N35" s="293" t="s">
        <v>212</v>
      </c>
      <c r="O35" s="294" t="s">
        <v>213</v>
      </c>
      <c r="P35" s="52">
        <f>IF(I34&lt;$E$1,IF(B39=1,IF(T16=0,ROUND((I34*$L$2),2),0),0),ROUND((I34*$L$2),2))</f>
        <v>36.79</v>
      </c>
      <c r="Q35" s="295" t="s">
        <v>214</v>
      </c>
      <c r="R35" s="682"/>
      <c r="S35" s="684"/>
      <c r="T35" s="289"/>
      <c r="U35" s="278"/>
    </row>
    <row r="36" spans="1:21" ht="61.5" customHeight="1" thickBot="1">
      <c r="A36" s="568"/>
      <c r="B36" s="158">
        <f>IF(H34&gt;0,B$2,0)</f>
        <v>0.0976</v>
      </c>
      <c r="C36" s="158">
        <f>IF(I34&gt;0,D$2,0)</f>
        <v>0.045</v>
      </c>
      <c r="D36" s="158" t="s">
        <v>208</v>
      </c>
      <c r="E36" s="158">
        <f>IF(K34&gt;0,H$2,0)</f>
        <v>0.0167</v>
      </c>
      <c r="F36" s="158">
        <f>IF(L34&gt;0,J$2,0)</f>
        <v>0.09</v>
      </c>
      <c r="G36" s="158">
        <f>IF(G35&gt;0,L$1,0)</f>
        <v>0</v>
      </c>
      <c r="H36" s="296" t="s">
        <v>215</v>
      </c>
      <c r="I36" s="297" t="s">
        <v>215</v>
      </c>
      <c r="J36" s="297" t="s">
        <v>215</v>
      </c>
      <c r="K36" s="298" t="s">
        <v>209</v>
      </c>
      <c r="L36" s="299" t="s">
        <v>215</v>
      </c>
      <c r="M36" s="300">
        <f>ROUND(M34*(B$2+B$2),2)</f>
        <v>0</v>
      </c>
      <c r="N36" s="301">
        <f>ROUND(N34*(D$2+H$4),2)</f>
        <v>0</v>
      </c>
      <c r="O36" s="302">
        <f>H39+I39+K39+G34</f>
        <v>239.2</v>
      </c>
      <c r="P36" s="303" t="s">
        <v>216</v>
      </c>
      <c r="Q36" s="304">
        <f>ROUND((L34*J$2),2)</f>
        <v>116.61</v>
      </c>
      <c r="R36" s="305" t="s">
        <v>217</v>
      </c>
      <c r="S36" s="684"/>
      <c r="T36" s="289"/>
      <c r="U36" s="278"/>
    </row>
    <row r="37" spans="1:21" ht="75.75" customHeight="1" thickBot="1" thickTop="1">
      <c r="A37" s="568"/>
      <c r="B37" s="141">
        <f>IF(B35+B36&gt;0,1,0)</f>
        <v>1</v>
      </c>
      <c r="C37" s="141">
        <f>IF(C35+C36&gt;0,1,0)</f>
        <v>1</v>
      </c>
      <c r="D37" s="141">
        <f>IF(D35&gt;0,1,0)</f>
        <v>1</v>
      </c>
      <c r="E37" s="141">
        <f>IF(E36&gt;0,1,0)</f>
        <v>1</v>
      </c>
      <c r="F37" s="141">
        <f>IF(F36&gt;0,1,0)</f>
        <v>1</v>
      </c>
      <c r="G37" s="141">
        <f>IF(G36&gt;0,1,0)</f>
        <v>0</v>
      </c>
      <c r="H37" s="306">
        <f>ROUND(H34*B35,2)</f>
        <v>146.55</v>
      </c>
      <c r="I37" s="307">
        <f>ROUND(I34*C35,2)</f>
        <v>22.52</v>
      </c>
      <c r="J37" s="307">
        <f>ROUND(J34*D35,2)</f>
        <v>36.79</v>
      </c>
      <c r="K37" s="244" t="s">
        <v>209</v>
      </c>
      <c r="L37" s="307">
        <f>IF(S28&gt;=ROUND(L34*F36,2),ROUND(L34*F36,2),S28)</f>
        <v>0</v>
      </c>
      <c r="M37" s="687" t="s">
        <v>218</v>
      </c>
      <c r="N37" s="688"/>
      <c r="O37" s="689" t="s">
        <v>219</v>
      </c>
      <c r="P37" s="308">
        <f>IF(P38&gt;0,1,0)</f>
        <v>1</v>
      </c>
      <c r="Q37" s="309" t="s">
        <v>220</v>
      </c>
      <c r="R37" s="310">
        <f>IF(B14=G14,H15+I15+J15+L15+O15+R15+IF(K15&gt;0,ROUND((K15/K13),2),0),0)+IF(B14&lt;G14,IF(B14&gt;0,ROUND((((H15+J15)/B14)*(G14-B27)),2)+IF(K15&gt;0,ROUND((K15/K13),2),0)+I15+L15+O15+R15,0),0)</f>
        <v>1386</v>
      </c>
      <c r="S37" s="235">
        <f>IF(S29-S30&lt;0,S30-S29,0)</f>
        <v>0</v>
      </c>
      <c r="T37" s="289"/>
      <c r="U37" s="278"/>
    </row>
    <row r="38" spans="1:22" ht="66" customHeight="1" thickBot="1" thickTop="1">
      <c r="A38" s="568"/>
      <c r="B38" s="311" t="s">
        <v>221</v>
      </c>
      <c r="C38" s="311" t="s">
        <v>222</v>
      </c>
      <c r="D38" s="311" t="s">
        <v>34</v>
      </c>
      <c r="E38" s="146" t="s">
        <v>223</v>
      </c>
      <c r="F38" s="312" t="s">
        <v>224</v>
      </c>
      <c r="G38" s="139">
        <f>IF(Q34&gt;Q28,Q34-Q28,0)</f>
        <v>100.41</v>
      </c>
      <c r="H38" s="313" t="s">
        <v>225</v>
      </c>
      <c r="I38" s="314" t="s">
        <v>225</v>
      </c>
      <c r="J38" s="298" t="s">
        <v>209</v>
      </c>
      <c r="K38" s="315" t="s">
        <v>225</v>
      </c>
      <c r="L38" s="316" t="s">
        <v>226</v>
      </c>
      <c r="M38" s="317" t="s">
        <v>227</v>
      </c>
      <c r="N38" s="318" t="s">
        <v>228</v>
      </c>
      <c r="O38" s="690"/>
      <c r="P38" s="319">
        <f>ROUND(N$2*H34,2)</f>
        <v>1.5</v>
      </c>
      <c r="Q38" s="320">
        <f>IF(D29&gt;0,$U$2,0)</f>
        <v>0</v>
      </c>
      <c r="R38" s="321" t="s">
        <v>229</v>
      </c>
      <c r="S38" s="322" t="s">
        <v>230</v>
      </c>
      <c r="T38" s="691" t="s">
        <v>231</v>
      </c>
      <c r="U38" s="692"/>
      <c r="V38" s="323">
        <f>IF(ISBLANK(AM10),0,IF(IF(AF25&gt;=AI$2,AI$2,AF25)&gt;0,IF(AF25&gt;=AI$2,AI$2,AF25),0))</f>
        <v>0</v>
      </c>
    </row>
    <row r="39" spans="1:22" ht="59.25" customHeight="1" thickBot="1" thickTop="1">
      <c r="A39" s="570"/>
      <c r="B39" s="324">
        <f>IF(ISBLANK(T11),0,1)</f>
        <v>0</v>
      </c>
      <c r="C39" s="324">
        <f>IF(ISBLANK(T11),0,IF(IF(M26&gt;=P$2,P$2,M26)&gt;0,IF(M26&gt;=P$2,P$2,M26),0))</f>
        <v>0</v>
      </c>
      <c r="D39" s="324">
        <f>IF(ISBLANK(T11),0,S$1)</f>
        <v>0</v>
      </c>
      <c r="E39" s="325">
        <f>IF(G14&gt;0,$N$3,0)</f>
        <v>0</v>
      </c>
      <c r="F39" s="326">
        <f>O34+O36+P35+P38+L37+S32</f>
        <v>483.35</v>
      </c>
      <c r="G39" s="327">
        <f>IF(G38&gt;0,1,0)</f>
        <v>1</v>
      </c>
      <c r="H39" s="328">
        <f>ROUND(H34*B35,2)</f>
        <v>146.55</v>
      </c>
      <c r="I39" s="329">
        <f>ROUND(I34*C36,2)</f>
        <v>67.57</v>
      </c>
      <c r="J39" s="182" t="s">
        <v>209</v>
      </c>
      <c r="K39" s="330">
        <f>ROUND(K34*E36,2)</f>
        <v>25.08</v>
      </c>
      <c r="L39" s="185">
        <f>IF(S28&gt;=ROUND((H34-O21-P39+H21+I21)*$R$3,2),ROUND((H34-O21-P39+H21+I21)*$R$3,2),S28)</f>
        <v>0</v>
      </c>
      <c r="M39" s="179">
        <f>O34+O36</f>
        <v>445.06</v>
      </c>
      <c r="N39" s="331">
        <f>M39+L37</f>
        <v>445.06</v>
      </c>
      <c r="O39" s="332">
        <f>SUM(M36:N36)</f>
        <v>0</v>
      </c>
      <c r="P39" s="333">
        <f>ROUND(Q11*B35,2)+ROUND(Q11*C35,2)+ROUND(Q11*D35,2)</f>
        <v>205.86</v>
      </c>
      <c r="Q39" s="334">
        <f>IF(D29&gt;0,ROUND(($U$2*J$2),2),0)</f>
        <v>0</v>
      </c>
      <c r="R39" s="335">
        <f>IF(B14&gt;=G14/2,IF(B14=G14,H15+I15+J15+L15+O15+P15+R15+IF(K15&gt;0,ROUND((K15/K13),2),0),ROUND((((H15+J15+L15)/B14)*(G14-B27)),2)+IF(K15&gt;0,ROUND((K15/K13),2),0)+I15+O15+P15+R15),0)</f>
        <v>1386</v>
      </c>
      <c r="S39" s="336">
        <f>IF(P10-O34-S32-L37&gt;0,P10-O34-S32-L37,0)</f>
        <v>1295.6399999999999</v>
      </c>
      <c r="T39" s="693" t="s">
        <v>232</v>
      </c>
      <c r="U39" s="694"/>
      <c r="V39" s="323">
        <f>IF(ISBLANK(AM11),0,IF(IF(AF26&gt;=AJ$2,AJ$2,AF26)&gt;0,IF(AF26&gt;=AJ$2,AJ$2,AF26),0))</f>
        <v>0</v>
      </c>
    </row>
    <row r="40" ht="24" customHeight="1" thickTop="1"/>
    <row r="41" spans="1:23" ht="33" customHeight="1" thickBot="1">
      <c r="A41" s="111" t="s">
        <v>72</v>
      </c>
      <c r="B41" s="112" t="s">
        <v>73</v>
      </c>
      <c r="C41" s="113"/>
      <c r="D41" s="113"/>
      <c r="E41" s="114"/>
      <c r="F41" s="553" t="s">
        <v>74</v>
      </c>
      <c r="G41" s="555" t="s">
        <v>75</v>
      </c>
      <c r="H41" s="557" t="s">
        <v>76</v>
      </c>
      <c r="I41" s="557"/>
      <c r="J41" s="558"/>
      <c r="K41" s="559"/>
      <c r="L41" s="560"/>
      <c r="M41" s="560"/>
      <c r="N41" s="560"/>
      <c r="O41" s="561"/>
      <c r="P41" s="559"/>
      <c r="Q41" s="560"/>
      <c r="R41" s="560"/>
      <c r="S41" s="560"/>
      <c r="T41" s="565" t="s">
        <v>77</v>
      </c>
      <c r="U41" s="566"/>
      <c r="V41" s="102"/>
      <c r="W41" s="115"/>
    </row>
    <row r="42" spans="1:23" ht="44.25" customHeight="1" thickBot="1" thickTop="1">
      <c r="A42" s="567">
        <f>A10+1</f>
        <v>2</v>
      </c>
      <c r="B42" s="571" t="s">
        <v>79</v>
      </c>
      <c r="C42" s="571" t="s">
        <v>80</v>
      </c>
      <c r="D42" s="573" t="s">
        <v>81</v>
      </c>
      <c r="E42" s="573"/>
      <c r="F42" s="554"/>
      <c r="G42" s="556"/>
      <c r="H42" s="574" t="s">
        <v>82</v>
      </c>
      <c r="I42" s="574"/>
      <c r="J42" s="574"/>
      <c r="K42" s="574"/>
      <c r="L42" s="575">
        <f>P42+S48</f>
        <v>0</v>
      </c>
      <c r="M42" s="576"/>
      <c r="N42" s="577" t="s">
        <v>83</v>
      </c>
      <c r="O42" s="578"/>
      <c r="P42" s="575">
        <f>Q43+M48</f>
        <v>0</v>
      </c>
      <c r="Q42" s="576"/>
      <c r="R42" s="119"/>
      <c r="S42" s="120"/>
      <c r="T42" s="121"/>
      <c r="U42" s="122"/>
      <c r="V42" s="102"/>
      <c r="W42" s="115"/>
    </row>
    <row r="43" spans="1:23" ht="36.75" customHeight="1">
      <c r="A43" s="568"/>
      <c r="B43" s="572"/>
      <c r="C43" s="572"/>
      <c r="D43" s="124" t="s">
        <v>85</v>
      </c>
      <c r="E43" s="124" t="s">
        <v>86</v>
      </c>
      <c r="F43" s="554"/>
      <c r="G43" s="556"/>
      <c r="H43" s="562" t="s">
        <v>87</v>
      </c>
      <c r="I43" s="563"/>
      <c r="J43" s="563"/>
      <c r="K43" s="563"/>
      <c r="L43" s="563"/>
      <c r="M43" s="563"/>
      <c r="N43" s="563"/>
      <c r="O43" s="563"/>
      <c r="P43" s="564"/>
      <c r="Q43" s="579">
        <f>SUM(H47:S47)</f>
        <v>0</v>
      </c>
      <c r="R43" s="580"/>
      <c r="S43" s="125"/>
      <c r="T43" s="581"/>
      <c r="U43" s="582"/>
      <c r="V43" s="102"/>
      <c r="W43" s="115"/>
    </row>
    <row r="44" spans="1:23" ht="38.25" customHeight="1">
      <c r="A44" s="568"/>
      <c r="B44" s="572"/>
      <c r="C44" s="126"/>
      <c r="D44" s="124" t="s">
        <v>89</v>
      </c>
      <c r="E44" s="124" t="s">
        <v>89</v>
      </c>
      <c r="F44" s="554"/>
      <c r="G44" s="127"/>
      <c r="H44" s="128" t="s">
        <v>90</v>
      </c>
      <c r="I44" s="129" t="s">
        <v>91</v>
      </c>
      <c r="J44" s="129" t="s">
        <v>92</v>
      </c>
      <c r="K44" s="130" t="s">
        <v>93</v>
      </c>
      <c r="L44" s="583" t="s">
        <v>94</v>
      </c>
      <c r="M44" s="583" t="s">
        <v>95</v>
      </c>
      <c r="N44" s="583" t="s">
        <v>96</v>
      </c>
      <c r="O44" s="585" t="s">
        <v>97</v>
      </c>
      <c r="P44" s="583" t="s">
        <v>98</v>
      </c>
      <c r="Q44" s="587" t="s">
        <v>99</v>
      </c>
      <c r="R44" s="589" t="s">
        <v>100</v>
      </c>
      <c r="S44" s="591" t="s">
        <v>101</v>
      </c>
      <c r="T44" s="581"/>
      <c r="U44" s="582"/>
      <c r="V44" s="102"/>
      <c r="W44" s="115"/>
    </row>
    <row r="45" spans="1:23" ht="30" customHeight="1">
      <c r="A45" s="568"/>
      <c r="B45" s="572"/>
      <c r="C45" s="131"/>
      <c r="D45" s="131"/>
      <c r="E45" s="131"/>
      <c r="F45" s="554"/>
      <c r="G45" s="127"/>
      <c r="H45" s="132" t="s">
        <v>103</v>
      </c>
      <c r="I45" s="133" t="s">
        <v>104</v>
      </c>
      <c r="J45" s="134">
        <v>0</v>
      </c>
      <c r="K45" s="135">
        <v>1</v>
      </c>
      <c r="L45" s="584"/>
      <c r="M45" s="584"/>
      <c r="N45" s="584"/>
      <c r="O45" s="586"/>
      <c r="P45" s="584"/>
      <c r="Q45" s="588"/>
      <c r="R45" s="590"/>
      <c r="S45" s="592"/>
      <c r="T45" s="581"/>
      <c r="U45" s="582"/>
      <c r="V45" s="102"/>
      <c r="W45" s="115"/>
    </row>
    <row r="46" spans="1:21" ht="51" customHeight="1">
      <c r="A46" s="568"/>
      <c r="B46" s="137">
        <f>G46</f>
        <v>0</v>
      </c>
      <c r="C46" s="137"/>
      <c r="D46" s="137"/>
      <c r="E46" s="138"/>
      <c r="F46" s="138"/>
      <c r="G46" s="139">
        <f>B$1*B71</f>
        <v>0</v>
      </c>
      <c r="H46" s="140">
        <f aca="true" t="shared" si="3" ref="H46:S46">IF(H47&gt;0,1,0)</f>
        <v>0</v>
      </c>
      <c r="I46" s="141">
        <f t="shared" si="3"/>
        <v>0</v>
      </c>
      <c r="J46" s="141">
        <f t="shared" si="3"/>
        <v>0</v>
      </c>
      <c r="K46" s="142">
        <f t="shared" si="3"/>
        <v>0</v>
      </c>
      <c r="L46" s="142">
        <f t="shared" si="3"/>
        <v>0</v>
      </c>
      <c r="M46" s="142">
        <f t="shared" si="3"/>
        <v>0</v>
      </c>
      <c r="N46" s="142">
        <f t="shared" si="3"/>
        <v>0</v>
      </c>
      <c r="O46" s="141">
        <f t="shared" si="3"/>
        <v>0</v>
      </c>
      <c r="P46" s="142">
        <f t="shared" si="3"/>
        <v>0</v>
      </c>
      <c r="Q46" s="142">
        <f t="shared" si="3"/>
        <v>0</v>
      </c>
      <c r="R46" s="143">
        <f t="shared" si="3"/>
        <v>0</v>
      </c>
      <c r="S46" s="144">
        <f t="shared" si="3"/>
        <v>0</v>
      </c>
      <c r="T46" s="593"/>
      <c r="U46" s="594"/>
    </row>
    <row r="47" spans="1:22" ht="49.5" customHeight="1" thickBot="1">
      <c r="A47" s="568"/>
      <c r="B47" s="595" t="s">
        <v>106</v>
      </c>
      <c r="C47" s="595" t="s">
        <v>107</v>
      </c>
      <c r="D47" s="596" t="s">
        <v>108</v>
      </c>
      <c r="E47" s="148" t="s">
        <v>109</v>
      </c>
      <c r="F47" s="149"/>
      <c r="G47" s="597" t="s">
        <v>110</v>
      </c>
      <c r="H47" s="150">
        <f>IF(B46+B50+B57+B59+C56+D50+F47&gt;0,IF(B62&gt;0,B62-(IF(E50+F50+G50+B54+C54+D54+E54+F54&gt;0,ROUND((B62/30)*IF(E50+F50+G50+B54+C54+D54+E54+F54&lt;31,E50+F50+G50+B54+C54+D54+E54+F54,30),2),0)+ROUND(((B62/G46)*(B50+B57+B59+C56+D50)),2)),0),0)+IF(B46&gt;G46,IF(B62&gt;0,(B46-G46)*B64,0),0)+IF(B63&gt;0,B63*B46,0)-IF(IF(B46+B50+B57+B59+C56+D50+F47&gt;0,IF(B62&gt;0,B62-(IF(E50+F50+G50+B54+C54+D54+E54+F54&gt;0,ROUND((B62/30)*IF(E50+F50+G50+B54+C54+D54+E54+F54&lt;31,E50+F50+G50+B54+C54+D54+E54+F54,30),2),0)+ROUND(((B62/G46)*(B50+B57+B59+C56+D50)),2)),0),0)&lt;0,IF(B46+B50+B57+B59+C56+D50+F47&gt;0,IF(B62&gt;0,B62-(IF(E50+F50+G50+B54+C54+D54+E54+F54&gt;0,ROUND((B62/30)*IF(E50+F50+G50+B54+C54+D54+E54+F54&lt;31,E50+F50+G50+B54+C54+D54+E54+F54,30),2),0)+ROUND(((B62/G46)*(B50+B57+B59+C56+D50)),2)),0),0),0)</f>
        <v>0</v>
      </c>
      <c r="I47" s="151">
        <f>ROUND(D46*ROUND(B64*150%,2)+E46*ROUND(B64*200%,2),2)</f>
        <v>0</v>
      </c>
      <c r="J47" s="151">
        <f>ROUND((J45*H47),2)</f>
        <v>0</v>
      </c>
      <c r="K47" s="151"/>
      <c r="L47" s="151">
        <f>IF(C46&gt;0,C46*ROUND(B64*U$3,2),0)+IF(U$3=0,IF(C46&gt;0,C46*ROUND(20%*ROUND(E$1/G46,2),2),0))</f>
        <v>0</v>
      </c>
      <c r="M47" s="151">
        <f>IF(B50&gt;0,ROUND((B50*C59),2),0)</f>
        <v>0</v>
      </c>
      <c r="N47" s="151">
        <f>IF(B46+D46+E46+F46&gt;0,ROUND((((H47+I47+J47+L47+O47)/(B46+D46+E46+F46))*D50),2),B64*D50)</f>
        <v>0</v>
      </c>
      <c r="O47" s="151">
        <f>ROUND((F46*B64),2)</f>
        <v>0</v>
      </c>
      <c r="P47" s="151">
        <f>IF(C50&gt;0,ROUND((D59/($I$1*8*B71)),2)*C50,0)</f>
        <v>0</v>
      </c>
      <c r="Q47" s="151"/>
      <c r="R47" s="152"/>
      <c r="S47" s="153">
        <f>IF(G64&gt;500,G64-500,0)+IF(F64&gt;190,F64-190,0)</f>
        <v>0</v>
      </c>
      <c r="T47" s="593"/>
      <c r="U47" s="594"/>
      <c r="V47" s="154"/>
    </row>
    <row r="48" spans="1:21" ht="57" customHeight="1">
      <c r="A48" s="568"/>
      <c r="B48" s="554"/>
      <c r="C48" s="554"/>
      <c r="D48" s="554"/>
      <c r="E48" s="599" t="s">
        <v>112</v>
      </c>
      <c r="F48" s="599"/>
      <c r="G48" s="598"/>
      <c r="H48" s="600" t="s">
        <v>113</v>
      </c>
      <c r="I48" s="601"/>
      <c r="J48" s="601"/>
      <c r="K48" s="601"/>
      <c r="L48" s="601"/>
      <c r="M48" s="602">
        <f>H53+I53+M49</f>
        <v>0</v>
      </c>
      <c r="N48" s="603"/>
      <c r="O48" s="604" t="s">
        <v>114</v>
      </c>
      <c r="P48" s="604"/>
      <c r="Q48" s="604"/>
      <c r="R48" s="604"/>
      <c r="S48" s="156">
        <f>S49+O53</f>
        <v>0</v>
      </c>
      <c r="T48" s="605"/>
      <c r="U48" s="606"/>
    </row>
    <row r="49" spans="1:21" ht="38.25" customHeight="1">
      <c r="A49" s="568"/>
      <c r="B49" s="157"/>
      <c r="C49" s="131"/>
      <c r="D49" s="131"/>
      <c r="E49" s="158">
        <v>0.8</v>
      </c>
      <c r="F49" s="158">
        <v>1</v>
      </c>
      <c r="G49" s="159">
        <v>0.8</v>
      </c>
      <c r="H49" s="607" t="s">
        <v>115</v>
      </c>
      <c r="I49" s="608"/>
      <c r="J49" s="609" t="s">
        <v>116</v>
      </c>
      <c r="K49" s="610"/>
      <c r="L49" s="610"/>
      <c r="M49" s="611">
        <f>SUM(J53:N53)</f>
        <v>0</v>
      </c>
      <c r="N49" s="612"/>
      <c r="O49" s="160" t="s">
        <v>117</v>
      </c>
      <c r="P49" s="613" t="s">
        <v>118</v>
      </c>
      <c r="Q49" s="614"/>
      <c r="R49" s="615"/>
      <c r="S49" s="161">
        <f>SUM(P53:S53)</f>
        <v>0</v>
      </c>
      <c r="T49" s="616"/>
      <c r="U49" s="617"/>
    </row>
    <row r="50" spans="1:21" ht="40.5" customHeight="1">
      <c r="A50" s="568"/>
      <c r="B50" s="137"/>
      <c r="C50" s="137"/>
      <c r="D50" s="137"/>
      <c r="E50" s="137"/>
      <c r="F50" s="137"/>
      <c r="G50" s="139"/>
      <c r="H50" s="618" t="s">
        <v>119</v>
      </c>
      <c r="I50" s="162"/>
      <c r="J50" s="620" t="s">
        <v>120</v>
      </c>
      <c r="K50" s="595" t="s">
        <v>121</v>
      </c>
      <c r="L50" s="595" t="s">
        <v>122</v>
      </c>
      <c r="M50" s="595" t="s">
        <v>123</v>
      </c>
      <c r="N50" s="163" t="s">
        <v>124</v>
      </c>
      <c r="O50" s="622" t="s">
        <v>125</v>
      </c>
      <c r="P50" s="624" t="s">
        <v>126</v>
      </c>
      <c r="Q50" s="584" t="s">
        <v>127</v>
      </c>
      <c r="R50" s="634" t="s">
        <v>128</v>
      </c>
      <c r="S50" s="633" t="s">
        <v>129</v>
      </c>
      <c r="T50" s="164"/>
      <c r="U50" s="165"/>
    </row>
    <row r="51" spans="1:21" ht="39.75" customHeight="1">
      <c r="A51" s="568"/>
      <c r="B51" s="571" t="s">
        <v>110</v>
      </c>
      <c r="C51" s="571" t="s">
        <v>130</v>
      </c>
      <c r="D51" s="571" t="s">
        <v>131</v>
      </c>
      <c r="E51" s="571" t="s">
        <v>132</v>
      </c>
      <c r="F51" s="571" t="s">
        <v>110</v>
      </c>
      <c r="G51" s="166" t="s">
        <v>133</v>
      </c>
      <c r="H51" s="619"/>
      <c r="I51" s="167"/>
      <c r="J51" s="621"/>
      <c r="K51" s="554"/>
      <c r="L51" s="554"/>
      <c r="M51" s="554"/>
      <c r="N51" s="168" t="s">
        <v>134</v>
      </c>
      <c r="O51" s="623"/>
      <c r="P51" s="624"/>
      <c r="Q51" s="584"/>
      <c r="R51" s="634"/>
      <c r="S51" s="633"/>
      <c r="T51" s="627">
        <f>I63-S64-P63</f>
        <v>0</v>
      </c>
      <c r="U51" s="628"/>
    </row>
    <row r="52" spans="1:21" ht="35.25" customHeight="1">
      <c r="A52" s="568"/>
      <c r="B52" s="572"/>
      <c r="C52" s="572"/>
      <c r="D52" s="572"/>
      <c r="E52" s="572"/>
      <c r="F52" s="572"/>
      <c r="G52" s="139"/>
      <c r="H52" s="169">
        <f aca="true" t="shared" si="4" ref="H52:M52">IF(H53&gt;0,1,0)</f>
        <v>0</v>
      </c>
      <c r="I52" s="170">
        <f t="shared" si="4"/>
        <v>0</v>
      </c>
      <c r="J52" s="171">
        <f t="shared" si="4"/>
        <v>0</v>
      </c>
      <c r="K52" s="172">
        <f t="shared" si="4"/>
        <v>0</v>
      </c>
      <c r="L52" s="173">
        <f t="shared" si="4"/>
        <v>0</v>
      </c>
      <c r="M52" s="173">
        <f t="shared" si="4"/>
        <v>0</v>
      </c>
      <c r="N52" s="174">
        <v>0</v>
      </c>
      <c r="O52" s="175">
        <f>IF(O53&gt;0,1,0)</f>
        <v>0</v>
      </c>
      <c r="P52" s="171">
        <f>IF(P53&gt;0,1,0)</f>
        <v>0</v>
      </c>
      <c r="Q52" s="173">
        <f>IF(Q53&gt;0,1,0)</f>
        <v>0</v>
      </c>
      <c r="R52" s="173">
        <f>IF(R53&gt;0,1,0)</f>
        <v>0</v>
      </c>
      <c r="S52" s="176">
        <f>IF(S53&gt;0,1,0)</f>
        <v>0</v>
      </c>
      <c r="T52" s="627"/>
      <c r="U52" s="628"/>
    </row>
    <row r="53" spans="1:21" ht="36" customHeight="1" thickBot="1">
      <c r="A53" s="568"/>
      <c r="B53" s="177">
        <v>1</v>
      </c>
      <c r="C53" s="177">
        <v>0.8</v>
      </c>
      <c r="D53" s="572"/>
      <c r="E53" s="572"/>
      <c r="F53" s="177">
        <v>0.7</v>
      </c>
      <c r="G53" s="178">
        <v>0</v>
      </c>
      <c r="H53" s="179">
        <f>IF(E50&gt;0,ROUND((C64*E49),2)*E50,0)+IF(F50&gt;0,C64*F50,0)</f>
        <v>0</v>
      </c>
      <c r="I53" s="180"/>
      <c r="J53" s="181">
        <f>IF(G46&gt;0,IF(B46&gt;=G46,E59-((E59/22)*F59),(E59-(ROUND(((E59/22)*(((G46-B46)/8*B71)+F59)),2))))-IF(B46=0,0,0)-IF(B46&lt;=F59*8*B71,E59-ROUND(((E59/22)*(((G46-B46)/8*B71)+F59)),2),0),0)</f>
        <v>0</v>
      </c>
      <c r="K53" s="182">
        <f>G62-R53</f>
        <v>0</v>
      </c>
      <c r="L53" s="182">
        <f>IF(F64&gt;0,IF(F64&lt;190,F64,190),0)</f>
        <v>0</v>
      </c>
      <c r="M53" s="182"/>
      <c r="N53" s="183">
        <f>IF(N52&gt;0,L$3*B71*N52,0)</f>
        <v>0</v>
      </c>
      <c r="O53" s="184">
        <f>IF(C71&lt;=$P$2,IF(G64&gt;0,IF(G64&lt;500,G64,500),0),0)</f>
        <v>0</v>
      </c>
      <c r="P53" s="181">
        <f>IF(G59&gt;0,ROUND(((G59/G46)*B46),2),0)+G58</f>
        <v>0</v>
      </c>
      <c r="Q53" s="182">
        <f>IF(F57&gt;0,ROUND((F57/G46)*B46,2),0)</f>
        <v>0</v>
      </c>
      <c r="R53" s="182">
        <f>IF(G62&gt;0,IF(G62&lt;380,G62,380),0)</f>
        <v>0</v>
      </c>
      <c r="S53" s="185"/>
      <c r="T53" s="627"/>
      <c r="U53" s="628"/>
    </row>
    <row r="54" spans="1:21" ht="60" customHeight="1" thickBot="1" thickTop="1">
      <c r="A54" s="568"/>
      <c r="B54" s="137"/>
      <c r="C54" s="137"/>
      <c r="D54" s="137"/>
      <c r="E54" s="137"/>
      <c r="F54" s="137"/>
      <c r="G54" s="139">
        <f>IF(L42+L55-Q53-P53-K63-J53&gt;$F$1,IF(G53&gt;0,IF(((H63-S64-L69-L63-J53-K53-L53-O66+P71)*(100%-G53))&gt;=(($F$1*B71)-IF(ROUND(((ROUND(($F$1-C71),0.1)*E71)-D71),0.1)&gt;0,ROUND(((ROUND(($F$1-C71),0.1)*E71)-D71),0.1),0)),((H63-S64-L69-L63-J53-K53-L53-O66+P71)*G53)))+IF(G53&gt;0,IF(((H63-S64-L69-L63-J53-K53-L53-O66+P71)*(100%-G53))&lt;(($F$1*B71)-IF(ROUND(((ROUND(($F$1-C71),0.1)*E71)-D71),0.1)&gt;0,ROUND(((ROUND(($F$1-C71),0.1)*E71)-D71),0.1),0)),(H63-S64-L69-L63-J53-K53-L53-O66+P71)-(($F$1*B71)-IF(ROUND(((ROUND(($F$1-C71),0.1)*E71)-D71),0.1)&gt;0,ROUND(((ROUND(($F$1-C71),0.1)*E71)-D71),0.1),0)))),0)</f>
        <v>0</v>
      </c>
      <c r="H54" s="629" t="s">
        <v>135</v>
      </c>
      <c r="I54" s="630"/>
      <c r="J54" s="630"/>
      <c r="K54" s="575">
        <f>L55+P54</f>
        <v>0</v>
      </c>
      <c r="L54" s="576"/>
      <c r="M54" s="631" t="s">
        <v>136</v>
      </c>
      <c r="N54" s="632"/>
      <c r="O54" s="632"/>
      <c r="P54" s="575">
        <f>P55+S55</f>
        <v>0</v>
      </c>
      <c r="Q54" s="575"/>
      <c r="R54" s="186"/>
      <c r="S54" s="186"/>
      <c r="T54" s="187">
        <v>200</v>
      </c>
      <c r="U54" s="188">
        <f>ROUND(((1400/'[1]Li-pł zlec'!$V$1)*'[1]LI-PŁ-prac'!T54),2)+((H53+L55)-ROUND(((H53+L55)*$N$3),2))+O56+P56+P58+R58+S58-O63-L63-M63</f>
        <v>1750</v>
      </c>
    </row>
    <row r="55" spans="1:21" ht="119.25" customHeight="1">
      <c r="A55" s="568"/>
      <c r="B55" s="189" t="s">
        <v>137</v>
      </c>
      <c r="C55" s="190" t="s">
        <v>138</v>
      </c>
      <c r="D55" s="595" t="s">
        <v>139</v>
      </c>
      <c r="E55" s="649" t="s">
        <v>307</v>
      </c>
      <c r="F55" s="191" t="s">
        <v>140</v>
      </c>
      <c r="G55" s="192" t="s">
        <v>141</v>
      </c>
      <c r="H55" s="651" t="s">
        <v>142</v>
      </c>
      <c r="I55" s="652"/>
      <c r="J55" s="652"/>
      <c r="K55" s="652"/>
      <c r="L55" s="193">
        <f>SUM(H58:L58)</f>
        <v>0</v>
      </c>
      <c r="M55" s="625"/>
      <c r="N55" s="626"/>
      <c r="O55" s="626"/>
      <c r="P55" s="193"/>
      <c r="Q55" s="635"/>
      <c r="R55" s="636"/>
      <c r="S55" s="194"/>
      <c r="T55" s="637"/>
      <c r="U55" s="638"/>
    </row>
    <row r="56" spans="1:21" ht="141" customHeight="1" thickBot="1">
      <c r="A56" s="568"/>
      <c r="B56" s="195" t="s">
        <v>143</v>
      </c>
      <c r="C56" s="196"/>
      <c r="D56" s="554"/>
      <c r="E56" s="650"/>
      <c r="F56" s="197">
        <f>IF(F57&gt;0,1,0)</f>
        <v>0</v>
      </c>
      <c r="G56" s="155" t="s">
        <v>308</v>
      </c>
      <c r="H56" s="198" t="s">
        <v>144</v>
      </c>
      <c r="I56" s="199" t="s">
        <v>145</v>
      </c>
      <c r="J56" s="199" t="s">
        <v>146</v>
      </c>
      <c r="K56" s="199" t="s">
        <v>147</v>
      </c>
      <c r="L56" s="200" t="s">
        <v>148</v>
      </c>
      <c r="M56" s="201"/>
      <c r="N56" s="202"/>
      <c r="O56" s="203"/>
      <c r="P56" s="204"/>
      <c r="Q56" s="205"/>
      <c r="R56" s="206"/>
      <c r="S56" s="207"/>
      <c r="T56" s="637"/>
      <c r="U56" s="638"/>
    </row>
    <row r="57" spans="1:21" ht="51.75" customHeight="1">
      <c r="A57" s="568"/>
      <c r="B57" s="208"/>
      <c r="C57" s="595" t="s">
        <v>149</v>
      </c>
      <c r="D57" s="554"/>
      <c r="E57" s="209"/>
      <c r="F57" s="210">
        <f>IF(T43&gt;0,$H$3,0)</f>
        <v>0</v>
      </c>
      <c r="G57" s="211">
        <f>IF(G58+G59&gt;0,1,0)</f>
        <v>0</v>
      </c>
      <c r="H57" s="212">
        <f>IF(H58&gt;0,1,0)</f>
        <v>0</v>
      </c>
      <c r="I57" s="213">
        <f>IF(I58&gt;0,1,0)</f>
        <v>0</v>
      </c>
      <c r="J57" s="213">
        <f>IF(J58&gt;0,1,0)</f>
        <v>0</v>
      </c>
      <c r="K57" s="213">
        <f>IF(K58&gt;0,1,0)</f>
        <v>0</v>
      </c>
      <c r="L57" s="214">
        <f>IF(L58&gt;0,1,0)</f>
        <v>0</v>
      </c>
      <c r="M57" s="639" t="s">
        <v>150</v>
      </c>
      <c r="N57" s="640"/>
      <c r="O57" s="641"/>
      <c r="P57" s="642"/>
      <c r="Q57" s="215"/>
      <c r="R57" s="216"/>
      <c r="S57" s="217"/>
      <c r="T57" s="643"/>
      <c r="U57" s="644"/>
    </row>
    <row r="58" spans="1:21" ht="60.75" customHeight="1" thickBot="1">
      <c r="A58" s="568"/>
      <c r="B58" s="218" t="s">
        <v>151</v>
      </c>
      <c r="C58" s="554"/>
      <c r="D58" s="131"/>
      <c r="E58" s="219">
        <f>IF(E57&gt;0,C$3,0)</f>
        <v>0</v>
      </c>
      <c r="F58" s="220" t="s">
        <v>152</v>
      </c>
      <c r="G58" s="221"/>
      <c r="H58" s="179">
        <f>IF(G50&gt;0,(ROUND((C64*G49),2)*G50),0)+IF(B54&gt;0,(ROUND((C64*B53),2)*B54),0)+IF(F54&gt;0,(ROUND((C64*F53),2)*F54),0)</f>
        <v>0</v>
      </c>
      <c r="I58" s="182">
        <f>IF(E54&gt;0,(ROUND(((D64*D63)/30),2)*E54),0)</f>
        <v>0</v>
      </c>
      <c r="J58" s="182">
        <f>IF(C54&gt;0,(ROUND(C64*C53,2)*C54),0)</f>
        <v>0</v>
      </c>
      <c r="K58" s="182">
        <f>IF(D54&gt;0,(ROUND(C64,2)*D54),0)</f>
        <v>0</v>
      </c>
      <c r="L58" s="222">
        <f>E64</f>
        <v>0</v>
      </c>
      <c r="M58" s="645">
        <f>Q43+M48+L55</f>
        <v>0</v>
      </c>
      <c r="N58" s="646"/>
      <c r="O58" s="202"/>
      <c r="P58" s="223"/>
      <c r="Q58" s="224"/>
      <c r="R58" s="182"/>
      <c r="S58" s="185"/>
      <c r="T58" s="695" t="s">
        <v>153</v>
      </c>
      <c r="U58" s="696"/>
    </row>
    <row r="59" spans="1:21" ht="41.25" customHeight="1" thickTop="1">
      <c r="A59" s="568"/>
      <c r="B59" s="208"/>
      <c r="C59" s="208"/>
      <c r="D59" s="208"/>
      <c r="E59" s="203">
        <f>ROUND((E57*E58),2)</f>
        <v>0</v>
      </c>
      <c r="F59" s="225"/>
      <c r="G59" s="226"/>
      <c r="H59" s="653" t="s">
        <v>309</v>
      </c>
      <c r="I59" s="655" t="s">
        <v>154</v>
      </c>
      <c r="J59" s="657" t="s">
        <v>155</v>
      </c>
      <c r="K59" s="660" t="s">
        <v>156</v>
      </c>
      <c r="L59" s="661" t="s">
        <v>157</v>
      </c>
      <c r="M59" s="661"/>
      <c r="N59" s="661"/>
      <c r="O59" s="662"/>
      <c r="P59" s="663" t="s">
        <v>158</v>
      </c>
      <c r="Q59" s="227" t="s">
        <v>159</v>
      </c>
      <c r="R59" s="228" t="s">
        <v>160</v>
      </c>
      <c r="S59" s="229" t="s">
        <v>161</v>
      </c>
      <c r="T59" s="695" t="s">
        <v>162</v>
      </c>
      <c r="U59" s="696"/>
    </row>
    <row r="60" spans="1:21" ht="92.25" customHeight="1">
      <c r="A60" s="568"/>
      <c r="B60" s="664" t="s">
        <v>163</v>
      </c>
      <c r="C60" s="117" t="s">
        <v>164</v>
      </c>
      <c r="D60" s="337" t="s">
        <v>165</v>
      </c>
      <c r="E60" s="146" t="s">
        <v>166</v>
      </c>
      <c r="F60" s="697" t="s">
        <v>167</v>
      </c>
      <c r="G60" s="191" t="s">
        <v>168</v>
      </c>
      <c r="H60" s="654"/>
      <c r="I60" s="656"/>
      <c r="J60" s="658"/>
      <c r="K60" s="584"/>
      <c r="L60" s="232" t="s">
        <v>169</v>
      </c>
      <c r="M60" s="123" t="s">
        <v>170</v>
      </c>
      <c r="N60" s="136" t="s">
        <v>171</v>
      </c>
      <c r="O60" s="136" t="s">
        <v>172</v>
      </c>
      <c r="P60" s="556"/>
      <c r="Q60" s="233">
        <f>ROUND(IF(S65&gt;$N$4,IF(S65&lt;=$O$4,7866.25+((S65-$N$4)*$O$3)),0)+IF(S65&gt;$O$4,20177.65+((S65-$O$4)*$P$3),0)+IF(S65&lt;=$N$4,IF(S65*E71&gt;0,S65*E71),0),0.1)</f>
        <v>0</v>
      </c>
      <c r="R60" s="234">
        <f>IF(L55&gt;0,ROUND((ROUND((L55),0.1)*E71),0.1),0)</f>
        <v>0</v>
      </c>
      <c r="S60" s="235">
        <f>IF(Q60+R60-D71&gt;=0,Q60+R60-D71,0)+IF(D71-Q60+R60&gt;0&lt;D71+0.001,Q60+R60-D71,0)</f>
        <v>0</v>
      </c>
      <c r="T60" s="695" t="s">
        <v>173</v>
      </c>
      <c r="U60" s="696"/>
    </row>
    <row r="61" spans="1:21" ht="51" customHeight="1">
      <c r="A61" s="568"/>
      <c r="B61" s="665"/>
      <c r="C61" s="230"/>
      <c r="D61" s="236"/>
      <c r="E61" s="237"/>
      <c r="F61" s="698"/>
      <c r="G61" s="239" t="s">
        <v>310</v>
      </c>
      <c r="H61" s="654"/>
      <c r="I61" s="656"/>
      <c r="J61" s="658"/>
      <c r="K61" s="584"/>
      <c r="L61" s="123"/>
      <c r="M61" s="240"/>
      <c r="N61" s="241"/>
      <c r="O61" s="136"/>
      <c r="P61" s="556"/>
      <c r="Q61" s="668" t="s">
        <v>174</v>
      </c>
      <c r="R61" s="669"/>
      <c r="S61" s="235">
        <f>ROUND(IF(S60&gt;=L71,S60-L71,0),0.1)</f>
        <v>0</v>
      </c>
      <c r="T61" s="338" t="str">
        <f>L$8</f>
        <v>styczeń</v>
      </c>
      <c r="U61" s="339" t="str">
        <f>N$8</f>
        <v>2011 r.</v>
      </c>
    </row>
    <row r="62" spans="1:21" ht="48" customHeight="1">
      <c r="A62" s="568"/>
      <c r="B62" s="244">
        <f>IF(B63=0,IF(T43&gt;0,IF(T48&gt;0,IF(T48="I kl",O$1)+IF(T48="II kl",P$1)+IF(T48="III kl",Q$1),ROUND((E$1*B71),2)),0),0)</f>
        <v>0</v>
      </c>
      <c r="C62" s="118" t="s">
        <v>175</v>
      </c>
      <c r="D62" s="123" t="s">
        <v>176</v>
      </c>
      <c r="E62" s="245"/>
      <c r="F62" s="698"/>
      <c r="G62" s="139"/>
      <c r="H62" s="246">
        <f>IF(H63&gt;0,1,0)</f>
        <v>0</v>
      </c>
      <c r="I62" s="247">
        <f>IF(I63&gt;0,1,0)</f>
        <v>0</v>
      </c>
      <c r="J62" s="658"/>
      <c r="K62" s="248">
        <f aca="true" t="shared" si="5" ref="K62:P62">IF(K63&gt;0,1,0)</f>
        <v>0</v>
      </c>
      <c r="L62" s="249">
        <f t="shared" si="5"/>
        <v>0</v>
      </c>
      <c r="M62" s="250">
        <f t="shared" si="5"/>
        <v>0</v>
      </c>
      <c r="N62" s="249">
        <f t="shared" si="5"/>
        <v>0</v>
      </c>
      <c r="O62" s="251">
        <f t="shared" si="5"/>
        <v>0</v>
      </c>
      <c r="P62" s="252">
        <f t="shared" si="5"/>
        <v>0</v>
      </c>
      <c r="Q62" s="670" t="s">
        <v>177</v>
      </c>
      <c r="R62" s="253" t="s">
        <v>178</v>
      </c>
      <c r="S62" s="235">
        <v>0</v>
      </c>
      <c r="T62" s="647" t="s">
        <v>179</v>
      </c>
      <c r="U62" s="648"/>
    </row>
    <row r="63" spans="1:21" ht="57.75" customHeight="1" thickBot="1">
      <c r="A63" s="568"/>
      <c r="B63" s="254"/>
      <c r="C63" s="230"/>
      <c r="D63" s="177">
        <v>0.9</v>
      </c>
      <c r="E63" s="255">
        <f>IF(E61&gt;0,$U$1-E62,0)</f>
        <v>0</v>
      </c>
      <c r="F63" s="238">
        <f>IF(F64&gt;0,1,0)</f>
        <v>0</v>
      </c>
      <c r="G63" s="256" t="s">
        <v>180</v>
      </c>
      <c r="H63" s="257">
        <f>P42+L55-P71</f>
        <v>0</v>
      </c>
      <c r="I63" s="233">
        <f>L42+K54</f>
        <v>0</v>
      </c>
      <c r="J63" s="659"/>
      <c r="K63" s="244">
        <f>S47+K53+L53+O53+R53+O66+L69-N63</f>
        <v>0</v>
      </c>
      <c r="L63" s="244"/>
      <c r="M63" s="244">
        <f>G52+IF(G54&gt;0,G54,0)</f>
        <v>0</v>
      </c>
      <c r="N63" s="244">
        <f>L69-L71</f>
        <v>0</v>
      </c>
      <c r="O63" s="244"/>
      <c r="P63" s="258">
        <f>SUM(K63:O63)</f>
        <v>0</v>
      </c>
      <c r="Q63" s="671"/>
      <c r="R63" s="259" t="s">
        <v>181</v>
      </c>
      <c r="S63" s="235">
        <v>0</v>
      </c>
      <c r="T63" s="647" t="s">
        <v>182</v>
      </c>
      <c r="U63" s="648"/>
    </row>
    <row r="64" spans="1:21" ht="45.75" customHeight="1" thickBot="1" thickTop="1">
      <c r="A64" s="569"/>
      <c r="B64" s="244">
        <f>IF(B63=0,ROUND(IF(B62&gt;0,CEILING((B62/G46),0.01),B63),2),B63)</f>
        <v>0</v>
      </c>
      <c r="C64" s="244">
        <f>IF(T43&gt;0,(IF(C61&gt;0,ROUND(((C61-(C61*(B67+C67+D67)))/30),2),0)+IF(C63&gt;0,ROUND((C63/30),2),0))+(IF(IF(C61&gt;0,ROUND(((C61-(C61*(B67+C67+D67)))/30),2),0)+IF(C63&gt;0,ROUND((C63/30),2),0)&lt;ROUND((($F$1*B71)/30),2),(IF(C61+C63&gt;0,ROUND((($F$1*B71)/30),2)-(IF(C61&gt;0,ROUND(((C61-(C61*(B67+C67+D67)))/30),2),0)+IF(C63&gt;0,ROUND((C63/30),2),0)))),0)),0)</f>
        <v>0</v>
      </c>
      <c r="D64" s="244"/>
      <c r="E64" s="244">
        <f>IF(E63&gt;0,IF(ROUND(E61-((E61/30)*E62),2)-H66+O66&gt;0,ROUND(E61-((E61/30)*E62),2)-H66+O66,0),0)</f>
        <v>0</v>
      </c>
      <c r="F64" s="137"/>
      <c r="G64" s="139"/>
      <c r="H64" s="672" t="s">
        <v>183</v>
      </c>
      <c r="I64" s="673"/>
      <c r="J64" s="673"/>
      <c r="K64" s="673"/>
      <c r="L64" s="673"/>
      <c r="M64" s="674" t="s">
        <v>184</v>
      </c>
      <c r="N64" s="675"/>
      <c r="O64" s="260" t="s">
        <v>185</v>
      </c>
      <c r="P64" s="261" t="s">
        <v>186</v>
      </c>
      <c r="Q64" s="676" t="s">
        <v>187</v>
      </c>
      <c r="R64" s="677"/>
      <c r="S64" s="262">
        <f>ROUND((IF(S61-S62&gt;=0,S61-S62,0)+S63),0.1)</f>
        <v>0</v>
      </c>
      <c r="T64" s="263" t="str">
        <f>L$8</f>
        <v>styczeń</v>
      </c>
      <c r="U64" s="264" t="str">
        <f>N$8</f>
        <v>2011 r.</v>
      </c>
    </row>
    <row r="65" spans="1:21" ht="81" customHeight="1" thickBot="1" thickTop="1">
      <c r="A65" s="568"/>
      <c r="B65" s="699" t="s">
        <v>188</v>
      </c>
      <c r="C65" s="700"/>
      <c r="D65" s="700"/>
      <c r="E65" s="701"/>
      <c r="F65" s="265" t="s">
        <v>189</v>
      </c>
      <c r="G65" s="266" t="s">
        <v>190</v>
      </c>
      <c r="H65" s="267" t="s">
        <v>191</v>
      </c>
      <c r="I65" s="268" t="s">
        <v>192</v>
      </c>
      <c r="J65" s="269" t="s">
        <v>193</v>
      </c>
      <c r="K65" s="238" t="s">
        <v>194</v>
      </c>
      <c r="L65" s="270" t="s">
        <v>195</v>
      </c>
      <c r="M65" s="198" t="s">
        <v>196</v>
      </c>
      <c r="N65" s="271" t="s">
        <v>197</v>
      </c>
      <c r="O65" s="294" t="s">
        <v>198</v>
      </c>
      <c r="P65" s="273" t="s">
        <v>199</v>
      </c>
      <c r="Q65" s="340" t="s">
        <v>200</v>
      </c>
      <c r="R65" s="275" t="s">
        <v>201</v>
      </c>
      <c r="S65" s="276">
        <f>IF(ROUND((P42-P71-C71),0.1)&gt;0,ROUND((P42-P71-C71),0.1),0)</f>
        <v>0</v>
      </c>
      <c r="T65" s="277"/>
      <c r="U65" s="278"/>
    </row>
    <row r="66" spans="1:21" ht="81" customHeight="1" thickTop="1">
      <c r="A66" s="568"/>
      <c r="B66" s="279" t="s">
        <v>202</v>
      </c>
      <c r="C66" s="279" t="s">
        <v>203</v>
      </c>
      <c r="D66" s="279" t="s">
        <v>204</v>
      </c>
      <c r="E66" s="279" t="s">
        <v>205</v>
      </c>
      <c r="F66" s="279" t="s">
        <v>206</v>
      </c>
      <c r="G66" s="280">
        <f>ROUND((H66*G68),2)</f>
        <v>0</v>
      </c>
      <c r="H66" s="281">
        <f>Q43+O53</f>
        <v>0</v>
      </c>
      <c r="I66" s="282">
        <f>Q43+O53</f>
        <v>0</v>
      </c>
      <c r="J66" s="282">
        <f>Q43+O53</f>
        <v>0</v>
      </c>
      <c r="K66" s="282">
        <f>Q43+O53</f>
        <v>0</v>
      </c>
      <c r="L66" s="283">
        <f>Q43+H53+I53-O66+O53</f>
        <v>0</v>
      </c>
      <c r="M66" s="284">
        <f>IF(D61&gt;0,IF(D61&lt;$U$1,ROUND((($E$1/$U$1)*D61),2),$E$1))+IF(K58&gt;0,K58,0)</f>
        <v>0</v>
      </c>
      <c r="N66" s="285">
        <f>M66</f>
        <v>0</v>
      </c>
      <c r="O66" s="286">
        <f>SUM(H69:J69)</f>
        <v>0</v>
      </c>
      <c r="P66" s="287">
        <f>IF(P67&gt;0,1,0)</f>
        <v>0</v>
      </c>
      <c r="Q66" s="288">
        <f>ROUND((H66-O53-P71+H53+I53)*$R$3,2)</f>
        <v>0</v>
      </c>
      <c r="R66" s="681" t="s">
        <v>207</v>
      </c>
      <c r="S66" s="683" t="s">
        <v>311</v>
      </c>
      <c r="T66" s="289"/>
      <c r="U66" s="278"/>
    </row>
    <row r="67" spans="1:21" ht="38.25" customHeight="1">
      <c r="A67" s="568"/>
      <c r="B67" s="158">
        <f>IF(H66&gt;0,B$2,0)</f>
        <v>0</v>
      </c>
      <c r="C67" s="158">
        <f>IF(I66&gt;0,H$4,0)</f>
        <v>0</v>
      </c>
      <c r="D67" s="158">
        <f>IF(J66&gt;0,F$2,0)</f>
        <v>0</v>
      </c>
      <c r="E67" s="158" t="s">
        <v>208</v>
      </c>
      <c r="F67" s="290" t="s">
        <v>209</v>
      </c>
      <c r="G67" s="291">
        <v>0</v>
      </c>
      <c r="H67" s="685" t="s">
        <v>210</v>
      </c>
      <c r="I67" s="686"/>
      <c r="J67" s="686"/>
      <c r="K67" s="686"/>
      <c r="L67" s="686"/>
      <c r="M67" s="292" t="s">
        <v>211</v>
      </c>
      <c r="N67" s="293" t="s">
        <v>212</v>
      </c>
      <c r="O67" s="294" t="s">
        <v>213</v>
      </c>
      <c r="P67" s="52">
        <f>IF(I66&lt;$E$1,IF(B71=1,IF(T48=0,ROUND((I66*$L$2),2),0),0),ROUND((I66*$L$2),2))</f>
        <v>0</v>
      </c>
      <c r="Q67" s="295" t="s">
        <v>214</v>
      </c>
      <c r="R67" s="682"/>
      <c r="S67" s="684"/>
      <c r="T67" s="289"/>
      <c r="U67" s="278"/>
    </row>
    <row r="68" spans="1:21" ht="42.75" customHeight="1" thickBot="1">
      <c r="A68" s="568"/>
      <c r="B68" s="158">
        <f>IF(H66&gt;0,B$2,0)</f>
        <v>0</v>
      </c>
      <c r="C68" s="158">
        <f>IF(I66&gt;0,D$2,0)</f>
        <v>0</v>
      </c>
      <c r="D68" s="158" t="s">
        <v>208</v>
      </c>
      <c r="E68" s="158">
        <f>IF(K66&gt;0,H$2,0)</f>
        <v>0</v>
      </c>
      <c r="F68" s="158">
        <f>IF(L66&gt;0,J$2,0)</f>
        <v>0</v>
      </c>
      <c r="G68" s="158">
        <f>IF(G67&gt;0,L$1,0)</f>
        <v>0</v>
      </c>
      <c r="H68" s="296" t="s">
        <v>215</v>
      </c>
      <c r="I68" s="297" t="s">
        <v>215</v>
      </c>
      <c r="J68" s="297" t="s">
        <v>215</v>
      </c>
      <c r="K68" s="298" t="s">
        <v>209</v>
      </c>
      <c r="L68" s="299" t="s">
        <v>215</v>
      </c>
      <c r="M68" s="300">
        <f>ROUND(M66*(B$2+B$2),2)</f>
        <v>0</v>
      </c>
      <c r="N68" s="301">
        <f>ROUND(N66*(D$2+H$4),2)</f>
        <v>0</v>
      </c>
      <c r="O68" s="302">
        <f>H71+I71+K71+G66</f>
        <v>0</v>
      </c>
      <c r="P68" s="303" t="s">
        <v>216</v>
      </c>
      <c r="Q68" s="304">
        <f>ROUND((L66*J$2),2)</f>
        <v>0</v>
      </c>
      <c r="R68" s="305" t="s">
        <v>217</v>
      </c>
      <c r="S68" s="684"/>
      <c r="T68" s="289"/>
      <c r="U68" s="278"/>
    </row>
    <row r="69" spans="1:21" ht="53.25" customHeight="1" thickBot="1" thickTop="1">
      <c r="A69" s="568"/>
      <c r="B69" s="141">
        <f>IF(B67+B68&gt;0,1,0)</f>
        <v>0</v>
      </c>
      <c r="C69" s="141">
        <f>IF(C67+C68&gt;0,1,0)</f>
        <v>0</v>
      </c>
      <c r="D69" s="141">
        <f>IF(D67&gt;0,1,0)</f>
        <v>0</v>
      </c>
      <c r="E69" s="141">
        <f>IF(E68&gt;0,1,0)</f>
        <v>0</v>
      </c>
      <c r="F69" s="141">
        <f>IF(F68&gt;0,1,0)</f>
        <v>0</v>
      </c>
      <c r="G69" s="141">
        <f>IF(G68&gt;0,1,0)</f>
        <v>0</v>
      </c>
      <c r="H69" s="306">
        <f>ROUND(H66*B67,2)</f>
        <v>0</v>
      </c>
      <c r="I69" s="307">
        <f>ROUND(I66*C67,2)</f>
        <v>0</v>
      </c>
      <c r="J69" s="307">
        <f>ROUND(J66*D67,2)</f>
        <v>0</v>
      </c>
      <c r="K69" s="244" t="s">
        <v>209</v>
      </c>
      <c r="L69" s="307">
        <f>IF(S60&gt;=ROUND(L66*F68,2),ROUND(L66*F68,2),S60)</f>
        <v>0</v>
      </c>
      <c r="M69" s="687" t="s">
        <v>218</v>
      </c>
      <c r="N69" s="688"/>
      <c r="O69" s="689" t="s">
        <v>219</v>
      </c>
      <c r="P69" s="308">
        <f>IF(P70&gt;0,1,0)</f>
        <v>0</v>
      </c>
      <c r="Q69" s="309" t="s">
        <v>220</v>
      </c>
      <c r="R69" s="310">
        <f>IF(B46=G46,H47+I47+J47+L47+O47+R47+IF(K47&gt;0,ROUND((K47/K45),2),0),0)+IF(B46&lt;G46,IF(B46&gt;0,ROUND((((H47+J47)/B46)*(G46-B59)),2)+IF(K47&gt;0,ROUND((K47/K45),2),0)+I47+L47+O47+R47,0),0)</f>
        <v>0</v>
      </c>
      <c r="S69" s="235">
        <f>IF(S61-S62&lt;0,S62-S61,0)</f>
        <v>0</v>
      </c>
      <c r="T69" s="289"/>
      <c r="U69" s="278"/>
    </row>
    <row r="70" spans="1:22" ht="63" customHeight="1" thickBot="1" thickTop="1">
      <c r="A70" s="568"/>
      <c r="B70" s="311" t="s">
        <v>221</v>
      </c>
      <c r="C70" s="311" t="s">
        <v>222</v>
      </c>
      <c r="D70" s="311" t="s">
        <v>34</v>
      </c>
      <c r="E70" s="146" t="s">
        <v>223</v>
      </c>
      <c r="F70" s="312" t="s">
        <v>224</v>
      </c>
      <c r="G70" s="139">
        <f>IF(Q66&gt;Q60,Q66-Q60,0)</f>
        <v>0</v>
      </c>
      <c r="H70" s="313" t="s">
        <v>225</v>
      </c>
      <c r="I70" s="314" t="s">
        <v>225</v>
      </c>
      <c r="J70" s="298" t="s">
        <v>209</v>
      </c>
      <c r="K70" s="315" t="s">
        <v>225</v>
      </c>
      <c r="L70" s="316" t="s">
        <v>226</v>
      </c>
      <c r="M70" s="317" t="s">
        <v>227</v>
      </c>
      <c r="N70" s="318" t="s">
        <v>228</v>
      </c>
      <c r="O70" s="690"/>
      <c r="P70" s="319">
        <f>ROUND(N$2*H66,2)</f>
        <v>0</v>
      </c>
      <c r="Q70" s="320">
        <f>IF(D61&gt;0,$U$2,0)</f>
        <v>0</v>
      </c>
      <c r="R70" s="321" t="s">
        <v>229</v>
      </c>
      <c r="S70" s="322" t="s">
        <v>230</v>
      </c>
      <c r="T70" s="691" t="s">
        <v>231</v>
      </c>
      <c r="U70" s="702"/>
      <c r="V70" s="323">
        <f>IF(ISBLANK(AM42),0,IF(IF(AF57&gt;=AI$2,AI$2,AF57)&gt;0,IF(AF57&gt;=AI$2,AI$2,AF57),0))</f>
        <v>0</v>
      </c>
    </row>
    <row r="71" spans="1:22" ht="42" customHeight="1" thickBot="1" thickTop="1">
      <c r="A71" s="570"/>
      <c r="B71" s="324">
        <f>IF(ISBLANK(T43),0,1)</f>
        <v>0</v>
      </c>
      <c r="C71" s="324">
        <f>IF(ISBLANK(T43),0,IF(IF(M58&gt;=P$2,P$2,M58)&gt;0,IF(M58&gt;=P$2,P$2,M58),0))</f>
        <v>0</v>
      </c>
      <c r="D71" s="324">
        <f>IF(ISBLANK(T43),0,S$1)</f>
        <v>0</v>
      </c>
      <c r="E71" s="325">
        <f>IF(G46&gt;0,$N$3,0)</f>
        <v>0</v>
      </c>
      <c r="F71" s="326">
        <f>O66+O68+P67+P70+L69+S64</f>
        <v>0</v>
      </c>
      <c r="G71" s="327">
        <f>IF(G70&gt;0,1,0)</f>
        <v>0</v>
      </c>
      <c r="H71" s="328">
        <f>ROUND(H66*B67,2)</f>
        <v>0</v>
      </c>
      <c r="I71" s="329">
        <f>ROUND(I66*C68,2)</f>
        <v>0</v>
      </c>
      <c r="J71" s="182" t="s">
        <v>209</v>
      </c>
      <c r="K71" s="330">
        <f>ROUND(K66*E68,2)</f>
        <v>0</v>
      </c>
      <c r="L71" s="185">
        <f>IF(S60&gt;=ROUND((H66-O53-P71+H53+I53)*$R$3,2),ROUND((H66-O53-P71+H53+I53)*$R$3,2),S60)</f>
        <v>0</v>
      </c>
      <c r="M71" s="179">
        <f>O66+O68</f>
        <v>0</v>
      </c>
      <c r="N71" s="331">
        <f>M71+L69</f>
        <v>0</v>
      </c>
      <c r="O71" s="332">
        <f>SUM(M68:N68)</f>
        <v>0</v>
      </c>
      <c r="P71" s="333">
        <f>ROUND(Q43*B67,2)+ROUND(Q43*C67,2)+ROUND(Q43*D67,2)</f>
        <v>0</v>
      </c>
      <c r="Q71" s="334">
        <f>IF(D61&gt;0,ROUND(($U$2*J$2),2),0)</f>
        <v>0</v>
      </c>
      <c r="R71" s="335">
        <f>IF(B46&gt;=G46/2,IF(B46=G46,H47+I47+J47+L47+O47+P47+R47+IF(K47&gt;0,ROUND((K47/K45),2),0),ROUND((((H47+J47+L47)/B46)*(G46-B59)),2)+IF(K47&gt;0,ROUND((K47/K45),2),0)+I47+O47+P47+R47),0)</f>
        <v>0</v>
      </c>
      <c r="S71" s="336">
        <f>IF(P42-O66-S64-L69&gt;0,P42-O66-S64-L69,0)</f>
        <v>0</v>
      </c>
      <c r="T71" s="693" t="s">
        <v>232</v>
      </c>
      <c r="U71" s="703"/>
      <c r="V71" s="323">
        <f>IF(ISBLANK(AM43),0,IF(IF(AF58&gt;=AJ$2,AJ$2,AF58)&gt;0,IF(AF58&gt;=AJ$2,AJ$2,AF58),0))</f>
        <v>0</v>
      </c>
    </row>
    <row r="72" ht="24" customHeight="1" thickTop="1"/>
    <row r="73" spans="1:23" ht="33" customHeight="1" thickBot="1">
      <c r="A73" s="111" t="s">
        <v>72</v>
      </c>
      <c r="B73" s="112" t="s">
        <v>73</v>
      </c>
      <c r="C73" s="113"/>
      <c r="D73" s="113"/>
      <c r="E73" s="114"/>
      <c r="F73" s="553" t="s">
        <v>74</v>
      </c>
      <c r="G73" s="555" t="s">
        <v>75</v>
      </c>
      <c r="H73" s="557" t="s">
        <v>76</v>
      </c>
      <c r="I73" s="557"/>
      <c r="J73" s="558"/>
      <c r="K73" s="559"/>
      <c r="L73" s="560"/>
      <c r="M73" s="560"/>
      <c r="N73" s="560"/>
      <c r="O73" s="561"/>
      <c r="P73" s="559"/>
      <c r="Q73" s="560"/>
      <c r="R73" s="560"/>
      <c r="S73" s="560"/>
      <c r="T73" s="565" t="s">
        <v>77</v>
      </c>
      <c r="U73" s="566"/>
      <c r="V73" s="102"/>
      <c r="W73" s="115"/>
    </row>
    <row r="74" spans="1:23" ht="44.25" customHeight="1" thickBot="1" thickTop="1">
      <c r="A74" s="567">
        <f>A42+1</f>
        <v>3</v>
      </c>
      <c r="B74" s="571" t="s">
        <v>79</v>
      </c>
      <c r="C74" s="571" t="s">
        <v>80</v>
      </c>
      <c r="D74" s="573" t="s">
        <v>81</v>
      </c>
      <c r="E74" s="573"/>
      <c r="F74" s="554"/>
      <c r="G74" s="556"/>
      <c r="H74" s="574" t="s">
        <v>82</v>
      </c>
      <c r="I74" s="574"/>
      <c r="J74" s="574"/>
      <c r="K74" s="574"/>
      <c r="L74" s="575">
        <f>P74+S80</f>
        <v>0</v>
      </c>
      <c r="M74" s="576"/>
      <c r="N74" s="577" t="s">
        <v>83</v>
      </c>
      <c r="O74" s="578"/>
      <c r="P74" s="575">
        <f>Q75+M80</f>
        <v>0</v>
      </c>
      <c r="Q74" s="576"/>
      <c r="R74" s="119"/>
      <c r="S74" s="120"/>
      <c r="T74" s="121"/>
      <c r="U74" s="122"/>
      <c r="V74" s="102"/>
      <c r="W74" s="115"/>
    </row>
    <row r="75" spans="1:23" ht="36.75" customHeight="1">
      <c r="A75" s="568"/>
      <c r="B75" s="572"/>
      <c r="C75" s="572"/>
      <c r="D75" s="124" t="s">
        <v>85</v>
      </c>
      <c r="E75" s="124" t="s">
        <v>86</v>
      </c>
      <c r="F75" s="554"/>
      <c r="G75" s="556"/>
      <c r="H75" s="562" t="s">
        <v>87</v>
      </c>
      <c r="I75" s="563"/>
      <c r="J75" s="563"/>
      <c r="K75" s="563"/>
      <c r="L75" s="563"/>
      <c r="M75" s="563"/>
      <c r="N75" s="563"/>
      <c r="O75" s="563"/>
      <c r="P75" s="564"/>
      <c r="Q75" s="579">
        <f>SUM(H79:S79)</f>
        <v>0</v>
      </c>
      <c r="R75" s="580"/>
      <c r="S75" s="125"/>
      <c r="T75" s="581"/>
      <c r="U75" s="582"/>
      <c r="V75" s="102"/>
      <c r="W75" s="115"/>
    </row>
    <row r="76" spans="1:23" ht="38.25" customHeight="1">
      <c r="A76" s="568"/>
      <c r="B76" s="572"/>
      <c r="C76" s="126"/>
      <c r="D76" s="124" t="s">
        <v>89</v>
      </c>
      <c r="E76" s="124" t="s">
        <v>89</v>
      </c>
      <c r="F76" s="554"/>
      <c r="G76" s="127"/>
      <c r="H76" s="128" t="s">
        <v>90</v>
      </c>
      <c r="I76" s="129" t="s">
        <v>91</v>
      </c>
      <c r="J76" s="129" t="s">
        <v>92</v>
      </c>
      <c r="K76" s="130" t="s">
        <v>93</v>
      </c>
      <c r="L76" s="583" t="s">
        <v>94</v>
      </c>
      <c r="M76" s="583" t="s">
        <v>95</v>
      </c>
      <c r="N76" s="583" t="s">
        <v>96</v>
      </c>
      <c r="O76" s="585" t="s">
        <v>97</v>
      </c>
      <c r="P76" s="583" t="s">
        <v>98</v>
      </c>
      <c r="Q76" s="587" t="s">
        <v>99</v>
      </c>
      <c r="R76" s="589" t="s">
        <v>100</v>
      </c>
      <c r="S76" s="591" t="s">
        <v>101</v>
      </c>
      <c r="T76" s="581"/>
      <c r="U76" s="582"/>
      <c r="V76" s="102"/>
      <c r="W76" s="115"/>
    </row>
    <row r="77" spans="1:23" ht="30" customHeight="1">
      <c r="A77" s="568"/>
      <c r="B77" s="572"/>
      <c r="C77" s="131"/>
      <c r="D77" s="131"/>
      <c r="E77" s="131"/>
      <c r="F77" s="554"/>
      <c r="G77" s="127"/>
      <c r="H77" s="132" t="s">
        <v>103</v>
      </c>
      <c r="I77" s="133" t="s">
        <v>104</v>
      </c>
      <c r="J77" s="134">
        <v>0</v>
      </c>
      <c r="K77" s="135">
        <v>1</v>
      </c>
      <c r="L77" s="584"/>
      <c r="M77" s="584"/>
      <c r="N77" s="584"/>
      <c r="O77" s="586"/>
      <c r="P77" s="584"/>
      <c r="Q77" s="588"/>
      <c r="R77" s="590"/>
      <c r="S77" s="592"/>
      <c r="T77" s="581"/>
      <c r="U77" s="582"/>
      <c r="V77" s="102"/>
      <c r="W77" s="115"/>
    </row>
    <row r="78" spans="1:21" ht="51" customHeight="1">
      <c r="A78" s="568"/>
      <c r="B78" s="137">
        <f>G78</f>
        <v>0</v>
      </c>
      <c r="C78" s="137"/>
      <c r="D78" s="137"/>
      <c r="E78" s="138"/>
      <c r="F78" s="138"/>
      <c r="G78" s="139">
        <f>B$1*B103</f>
        <v>0</v>
      </c>
      <c r="H78" s="140">
        <f aca="true" t="shared" si="6" ref="H78:S78">IF(H79&gt;0,1,0)</f>
        <v>0</v>
      </c>
      <c r="I78" s="141">
        <f t="shared" si="6"/>
        <v>0</v>
      </c>
      <c r="J78" s="141">
        <f t="shared" si="6"/>
        <v>0</v>
      </c>
      <c r="K78" s="142">
        <f t="shared" si="6"/>
        <v>0</v>
      </c>
      <c r="L78" s="142">
        <f t="shared" si="6"/>
        <v>0</v>
      </c>
      <c r="M78" s="142">
        <f t="shared" si="6"/>
        <v>0</v>
      </c>
      <c r="N78" s="142">
        <f t="shared" si="6"/>
        <v>0</v>
      </c>
      <c r="O78" s="141">
        <f t="shared" si="6"/>
        <v>0</v>
      </c>
      <c r="P78" s="142">
        <f t="shared" si="6"/>
        <v>0</v>
      </c>
      <c r="Q78" s="142">
        <f t="shared" si="6"/>
        <v>0</v>
      </c>
      <c r="R78" s="143">
        <f t="shared" si="6"/>
        <v>0</v>
      </c>
      <c r="S78" s="144">
        <f t="shared" si="6"/>
        <v>0</v>
      </c>
      <c r="T78" s="593"/>
      <c r="U78" s="594"/>
    </row>
    <row r="79" spans="1:22" ht="49.5" customHeight="1" thickBot="1">
      <c r="A79" s="568"/>
      <c r="B79" s="595" t="s">
        <v>106</v>
      </c>
      <c r="C79" s="595" t="s">
        <v>107</v>
      </c>
      <c r="D79" s="596" t="s">
        <v>108</v>
      </c>
      <c r="E79" s="148" t="s">
        <v>109</v>
      </c>
      <c r="F79" s="149"/>
      <c r="G79" s="597" t="s">
        <v>110</v>
      </c>
      <c r="H79" s="150">
        <f>IF(B78+B82+B89+B91+C88+D82+F79&gt;0,IF(B94&gt;0,B94-(IF(E82+F82+G82+B86+C86+D86+E86+F86&gt;0,ROUND((B94/30)*IF(E82+F82+G82+B86+C86+D86+E86+F86&lt;31,E82+F82+G82+B86+C86+D86+E86+F86,30),2),0)+ROUND(((B94/G78)*(B82+B89+B91+C88+D82)),2)),0),0)+IF(B78&gt;G78,IF(B94&gt;0,(B78-G78)*B96,0),0)+IF(B95&gt;0,B95*B78,0)-IF(IF(B78+B82+B89+B91+C88+D82+F79&gt;0,IF(B94&gt;0,B94-(IF(E82+F82+G82+B86+C86+D86+E86+F86&gt;0,ROUND((B94/30)*IF(E82+F82+G82+B86+C86+D86+E86+F86&lt;31,E82+F82+G82+B86+C86+D86+E86+F86,30),2),0)+ROUND(((B94/G78)*(B82+B89+B91+C88+D82)),2)),0),0)&lt;0,IF(B78+B82+B89+B91+C88+D82+F79&gt;0,IF(B94&gt;0,B94-(IF(E82+F82+G82+B86+C86+D86+E86+F86&gt;0,ROUND((B94/30)*IF(E82+F82+G82+B86+C86+D86+E86+F86&lt;31,E82+F82+G82+B86+C86+D86+E86+F86,30),2),0)+ROUND(((B94/G78)*(B82+B89+B91+C88+D82)),2)),0),0),0)</f>
        <v>0</v>
      </c>
      <c r="I79" s="151">
        <f>ROUND(D78*ROUND(B96*150%,2)+E78*ROUND(B96*200%,2),2)</f>
        <v>0</v>
      </c>
      <c r="J79" s="151">
        <f>ROUND((J77*H79),2)</f>
        <v>0</v>
      </c>
      <c r="K79" s="151"/>
      <c r="L79" s="151">
        <f>IF(C78&gt;0,C78*ROUND(B96*U$3,2),0)+IF(U$3=0,IF(C78&gt;0,C78*ROUND(20%*ROUND(E$1/G78,2),2),0))</f>
        <v>0</v>
      </c>
      <c r="M79" s="151">
        <f>IF(B82&gt;0,ROUND((B82*C91),2),0)</f>
        <v>0</v>
      </c>
      <c r="N79" s="151">
        <f>IF(B78+D78+E78+F78&gt;0,ROUND((((H79+I79+J79+L79+O79)/(B78+D78+E78+F78))*D82),2),B96*D82)</f>
        <v>0</v>
      </c>
      <c r="O79" s="151">
        <f>ROUND((F78*B96),2)</f>
        <v>0</v>
      </c>
      <c r="P79" s="151">
        <f>IF(C82&gt;0,ROUND((D91/($I$1*8*B103)),2)*C82,0)</f>
        <v>0</v>
      </c>
      <c r="Q79" s="151"/>
      <c r="R79" s="152"/>
      <c r="S79" s="153">
        <f>IF(G96&gt;500,G96-500,0)+IF(F96&gt;190,F96-190,0)</f>
        <v>0</v>
      </c>
      <c r="T79" s="593"/>
      <c r="U79" s="594"/>
      <c r="V79" s="154"/>
    </row>
    <row r="80" spans="1:21" ht="57" customHeight="1">
      <c r="A80" s="568"/>
      <c r="B80" s="554"/>
      <c r="C80" s="554"/>
      <c r="D80" s="554"/>
      <c r="E80" s="599" t="s">
        <v>112</v>
      </c>
      <c r="F80" s="599"/>
      <c r="G80" s="598"/>
      <c r="H80" s="600" t="s">
        <v>113</v>
      </c>
      <c r="I80" s="601"/>
      <c r="J80" s="601"/>
      <c r="K80" s="601"/>
      <c r="L80" s="601"/>
      <c r="M80" s="602">
        <f>H85+I85+M81</f>
        <v>0</v>
      </c>
      <c r="N80" s="603"/>
      <c r="O80" s="604" t="s">
        <v>114</v>
      </c>
      <c r="P80" s="604"/>
      <c r="Q80" s="604"/>
      <c r="R80" s="604"/>
      <c r="S80" s="156">
        <f>S81+O85</f>
        <v>0</v>
      </c>
      <c r="T80" s="605"/>
      <c r="U80" s="606"/>
    </row>
    <row r="81" spans="1:21" ht="38.25" customHeight="1">
      <c r="A81" s="568"/>
      <c r="B81" s="157"/>
      <c r="C81" s="131"/>
      <c r="D81" s="131"/>
      <c r="E81" s="158">
        <v>0.8</v>
      </c>
      <c r="F81" s="158">
        <v>1</v>
      </c>
      <c r="G81" s="159">
        <v>0.8</v>
      </c>
      <c r="H81" s="607" t="s">
        <v>115</v>
      </c>
      <c r="I81" s="608"/>
      <c r="J81" s="609" t="s">
        <v>116</v>
      </c>
      <c r="K81" s="610"/>
      <c r="L81" s="610"/>
      <c r="M81" s="611">
        <f>SUM(J85:N85)</f>
        <v>0</v>
      </c>
      <c r="N81" s="612"/>
      <c r="O81" s="160" t="s">
        <v>117</v>
      </c>
      <c r="P81" s="613" t="s">
        <v>118</v>
      </c>
      <c r="Q81" s="614"/>
      <c r="R81" s="615"/>
      <c r="S81" s="161">
        <f>SUM(P85:S85)</f>
        <v>0</v>
      </c>
      <c r="T81" s="616"/>
      <c r="U81" s="617"/>
    </row>
    <row r="82" spans="1:21" ht="40.5" customHeight="1">
      <c r="A82" s="568"/>
      <c r="B82" s="137"/>
      <c r="C82" s="137"/>
      <c r="D82" s="137"/>
      <c r="E82" s="137"/>
      <c r="F82" s="137"/>
      <c r="G82" s="139"/>
      <c r="H82" s="618" t="s">
        <v>119</v>
      </c>
      <c r="I82" s="162"/>
      <c r="J82" s="620" t="s">
        <v>120</v>
      </c>
      <c r="K82" s="595" t="s">
        <v>121</v>
      </c>
      <c r="L82" s="595" t="s">
        <v>122</v>
      </c>
      <c r="M82" s="595" t="s">
        <v>123</v>
      </c>
      <c r="N82" s="163" t="s">
        <v>124</v>
      </c>
      <c r="O82" s="622" t="s">
        <v>125</v>
      </c>
      <c r="P82" s="624" t="s">
        <v>126</v>
      </c>
      <c r="Q82" s="584" t="s">
        <v>127</v>
      </c>
      <c r="R82" s="634" t="s">
        <v>128</v>
      </c>
      <c r="S82" s="633" t="s">
        <v>129</v>
      </c>
      <c r="T82" s="164"/>
      <c r="U82" s="165"/>
    </row>
    <row r="83" spans="1:21" ht="39.75" customHeight="1">
      <c r="A83" s="568"/>
      <c r="B83" s="571" t="s">
        <v>110</v>
      </c>
      <c r="C83" s="571" t="s">
        <v>130</v>
      </c>
      <c r="D83" s="571" t="s">
        <v>131</v>
      </c>
      <c r="E83" s="571" t="s">
        <v>132</v>
      </c>
      <c r="F83" s="571" t="s">
        <v>110</v>
      </c>
      <c r="G83" s="166" t="s">
        <v>133</v>
      </c>
      <c r="H83" s="619"/>
      <c r="I83" s="167"/>
      <c r="J83" s="621"/>
      <c r="K83" s="554"/>
      <c r="L83" s="554"/>
      <c r="M83" s="554"/>
      <c r="N83" s="168" t="s">
        <v>134</v>
      </c>
      <c r="O83" s="623"/>
      <c r="P83" s="624"/>
      <c r="Q83" s="584"/>
      <c r="R83" s="634"/>
      <c r="S83" s="633"/>
      <c r="T83" s="627">
        <f>I95-S96-P95</f>
        <v>0</v>
      </c>
      <c r="U83" s="628"/>
    </row>
    <row r="84" spans="1:21" ht="35.25" customHeight="1">
      <c r="A84" s="568"/>
      <c r="B84" s="572"/>
      <c r="C84" s="572"/>
      <c r="D84" s="572"/>
      <c r="E84" s="572"/>
      <c r="F84" s="572"/>
      <c r="G84" s="139"/>
      <c r="H84" s="169">
        <f aca="true" t="shared" si="7" ref="H84:M84">IF(H85&gt;0,1,0)</f>
        <v>0</v>
      </c>
      <c r="I84" s="170">
        <f t="shared" si="7"/>
        <v>0</v>
      </c>
      <c r="J84" s="171">
        <f t="shared" si="7"/>
        <v>0</v>
      </c>
      <c r="K84" s="172">
        <f t="shared" si="7"/>
        <v>0</v>
      </c>
      <c r="L84" s="173">
        <f t="shared" si="7"/>
        <v>0</v>
      </c>
      <c r="M84" s="173">
        <f t="shared" si="7"/>
        <v>0</v>
      </c>
      <c r="N84" s="174">
        <v>0</v>
      </c>
      <c r="O84" s="175">
        <f>IF(O85&gt;0,1,0)</f>
        <v>0</v>
      </c>
      <c r="P84" s="171">
        <f>IF(P85&gt;0,1,0)</f>
        <v>0</v>
      </c>
      <c r="Q84" s="173">
        <f>IF(Q85&gt;0,1,0)</f>
        <v>0</v>
      </c>
      <c r="R84" s="173">
        <f>IF(R85&gt;0,1,0)</f>
        <v>0</v>
      </c>
      <c r="S84" s="176">
        <f>IF(S85&gt;0,1,0)</f>
        <v>0</v>
      </c>
      <c r="T84" s="627"/>
      <c r="U84" s="628"/>
    </row>
    <row r="85" spans="1:21" ht="36" customHeight="1" thickBot="1">
      <c r="A85" s="568"/>
      <c r="B85" s="177">
        <v>1</v>
      </c>
      <c r="C85" s="177">
        <v>0.8</v>
      </c>
      <c r="D85" s="572"/>
      <c r="E85" s="572"/>
      <c r="F85" s="177">
        <v>0.7</v>
      </c>
      <c r="G85" s="178">
        <v>0</v>
      </c>
      <c r="H85" s="179">
        <f>IF(E82&gt;0,ROUND((C96*E81),2)*E82,0)+IF(F82&gt;0,C96*F82,0)</f>
        <v>0</v>
      </c>
      <c r="I85" s="180"/>
      <c r="J85" s="181">
        <f>IF(G78&gt;0,IF(B78&gt;=G78,E91-((E91/22)*F91),(E91-(ROUND(((E91/22)*(((G78-B78)/8*B103)+F91)),2))))-IF(B78=0,0,0)-IF(B78&lt;=F91*8*B103,E91-ROUND(((E91/22)*(((G78-B78)/8*B103)+F91)),2),0),0)</f>
        <v>0</v>
      </c>
      <c r="K85" s="182">
        <f>G94-R85</f>
        <v>0</v>
      </c>
      <c r="L85" s="182">
        <f>IF(F96&gt;0,IF(F96&lt;190,F96,190),0)</f>
        <v>0</v>
      </c>
      <c r="M85" s="182"/>
      <c r="N85" s="183">
        <f>IF(N84&gt;0,L$3*B103*N84,0)</f>
        <v>0</v>
      </c>
      <c r="O85" s="184">
        <f>IF(C103&lt;=$P$2,IF(G96&gt;0,IF(G96&lt;500,G96,500),0),0)</f>
        <v>0</v>
      </c>
      <c r="P85" s="181">
        <f>IF(G91&gt;0,ROUND(((G91/G78)*B78),2),0)+G90</f>
        <v>0</v>
      </c>
      <c r="Q85" s="182">
        <f>IF(F89&gt;0,ROUND((F89/G78)*B78,2),0)</f>
        <v>0</v>
      </c>
      <c r="R85" s="182">
        <f>IF(G94&gt;0,IF(G94&lt;380,G94,380),0)</f>
        <v>0</v>
      </c>
      <c r="S85" s="185"/>
      <c r="T85" s="627"/>
      <c r="U85" s="628"/>
    </row>
    <row r="86" spans="1:21" ht="60" customHeight="1" thickBot="1" thickTop="1">
      <c r="A86" s="568"/>
      <c r="B86" s="137"/>
      <c r="C86" s="137"/>
      <c r="D86" s="137"/>
      <c r="E86" s="137"/>
      <c r="F86" s="137"/>
      <c r="G86" s="139">
        <f>IF(L74+L87-Q85-P85-K95-J85&gt;$F$1,IF(G85&gt;0,IF(((H95-S96-L101-L95-J85-K85-L85-O98+P103)*(100%-G85))&gt;=(($F$1*B103)-IF(ROUND(((ROUND(($F$1-C103),0.1)*E103)-D103),0.1)&gt;0,ROUND(((ROUND(($F$1-C103),0.1)*E103)-D103),0.1),0)),((H95-S96-L101-L95-J85-K85-L85-O98+P103)*G85)))+IF(G85&gt;0,IF(((H95-S96-L101-L95-J85-K85-L85-O98+P103)*(100%-G85))&lt;(($F$1*B103)-IF(ROUND(((ROUND(($F$1-C103),0.1)*E103)-D103),0.1)&gt;0,ROUND(((ROUND(($F$1-C103),0.1)*E103)-D103),0.1),0)),(H95-S96-L101-L95-J85-K85-L85-O98+P103)-(($F$1*B103)-IF(ROUND(((ROUND(($F$1-C103),0.1)*E103)-D103),0.1)&gt;0,ROUND(((ROUND(($F$1-C103),0.1)*E103)-D103),0.1),0)))),0)</f>
        <v>0</v>
      </c>
      <c r="H86" s="629" t="s">
        <v>135</v>
      </c>
      <c r="I86" s="630"/>
      <c r="J86" s="630"/>
      <c r="K86" s="575">
        <f>L87+P86</f>
        <v>0</v>
      </c>
      <c r="L86" s="576"/>
      <c r="M86" s="631" t="s">
        <v>136</v>
      </c>
      <c r="N86" s="632"/>
      <c r="O86" s="632"/>
      <c r="P86" s="575">
        <f>P87+S87</f>
        <v>0</v>
      </c>
      <c r="Q86" s="575"/>
      <c r="R86" s="186"/>
      <c r="S86" s="186"/>
      <c r="T86" s="187">
        <v>200</v>
      </c>
      <c r="U86" s="188">
        <f>ROUND(((1400/'[1]Li-pł zlec'!$V$1)*'[1]LI-PŁ-prac'!T86),2)+((H85+L87)-ROUND(((H85+L87)*$N$3),2))+O88+P88+P90+R90+S90-O95-L95-M95</f>
        <v>1750</v>
      </c>
    </row>
    <row r="87" spans="1:21" ht="119.25" customHeight="1">
      <c r="A87" s="568"/>
      <c r="B87" s="189" t="s">
        <v>137</v>
      </c>
      <c r="C87" s="190" t="s">
        <v>138</v>
      </c>
      <c r="D87" s="595" t="s">
        <v>139</v>
      </c>
      <c r="E87" s="649" t="s">
        <v>307</v>
      </c>
      <c r="F87" s="191" t="s">
        <v>140</v>
      </c>
      <c r="G87" s="192" t="s">
        <v>141</v>
      </c>
      <c r="H87" s="651" t="s">
        <v>142</v>
      </c>
      <c r="I87" s="652"/>
      <c r="J87" s="652"/>
      <c r="K87" s="652"/>
      <c r="L87" s="193">
        <f>SUM(H90:L90)</f>
        <v>0</v>
      </c>
      <c r="M87" s="625"/>
      <c r="N87" s="626"/>
      <c r="O87" s="626"/>
      <c r="P87" s="193"/>
      <c r="Q87" s="635"/>
      <c r="R87" s="636"/>
      <c r="S87" s="194"/>
      <c r="T87" s="637"/>
      <c r="U87" s="638"/>
    </row>
    <row r="88" spans="1:21" ht="141" customHeight="1" thickBot="1">
      <c r="A88" s="568"/>
      <c r="B88" s="195" t="s">
        <v>143</v>
      </c>
      <c r="C88" s="196"/>
      <c r="D88" s="554"/>
      <c r="E88" s="650"/>
      <c r="F88" s="197">
        <f>IF(F89&gt;0,1,0)</f>
        <v>0</v>
      </c>
      <c r="G88" s="155" t="s">
        <v>308</v>
      </c>
      <c r="H88" s="198" t="s">
        <v>144</v>
      </c>
      <c r="I88" s="199" t="s">
        <v>145</v>
      </c>
      <c r="J88" s="199" t="s">
        <v>146</v>
      </c>
      <c r="K88" s="199" t="s">
        <v>147</v>
      </c>
      <c r="L88" s="200" t="s">
        <v>148</v>
      </c>
      <c r="M88" s="201"/>
      <c r="N88" s="202"/>
      <c r="O88" s="203"/>
      <c r="P88" s="204"/>
      <c r="Q88" s="205"/>
      <c r="R88" s="206"/>
      <c r="S88" s="207"/>
      <c r="T88" s="637"/>
      <c r="U88" s="638"/>
    </row>
    <row r="89" spans="1:21" ht="51.75" customHeight="1">
      <c r="A89" s="568"/>
      <c r="B89" s="208"/>
      <c r="C89" s="595" t="s">
        <v>149</v>
      </c>
      <c r="D89" s="554"/>
      <c r="E89" s="209"/>
      <c r="F89" s="210">
        <f>IF(T75&gt;0,$H$3,0)</f>
        <v>0</v>
      </c>
      <c r="G89" s="211">
        <f>IF(G90+G91&gt;0,1,0)</f>
        <v>0</v>
      </c>
      <c r="H89" s="212">
        <f>IF(H90&gt;0,1,0)</f>
        <v>0</v>
      </c>
      <c r="I89" s="213">
        <f>IF(I90&gt;0,1,0)</f>
        <v>0</v>
      </c>
      <c r="J89" s="213">
        <f>IF(J90&gt;0,1,0)</f>
        <v>0</v>
      </c>
      <c r="K89" s="213">
        <f>IF(K90&gt;0,1,0)</f>
        <v>0</v>
      </c>
      <c r="L89" s="214">
        <f>IF(L90&gt;0,1,0)</f>
        <v>0</v>
      </c>
      <c r="M89" s="639" t="s">
        <v>150</v>
      </c>
      <c r="N89" s="640"/>
      <c r="O89" s="641"/>
      <c r="P89" s="642"/>
      <c r="Q89" s="215"/>
      <c r="R89" s="216"/>
      <c r="S89" s="217"/>
      <c r="T89" s="643"/>
      <c r="U89" s="644"/>
    </row>
    <row r="90" spans="1:21" ht="60.75" customHeight="1" thickBot="1">
      <c r="A90" s="568"/>
      <c r="B90" s="218" t="s">
        <v>151</v>
      </c>
      <c r="C90" s="554"/>
      <c r="D90" s="131"/>
      <c r="E90" s="219">
        <f>IF(E89&gt;0,C$3,0)</f>
        <v>0</v>
      </c>
      <c r="F90" s="220" t="s">
        <v>152</v>
      </c>
      <c r="G90" s="221"/>
      <c r="H90" s="179">
        <f>IF(G82&gt;0,(ROUND((C96*G81),2)*G82),0)+IF(B86&gt;0,(ROUND((C96*B85),2)*B86),0)+IF(F86&gt;0,(ROUND((C96*F85),2)*F86),0)</f>
        <v>0</v>
      </c>
      <c r="I90" s="182">
        <f>IF(E86&gt;0,(ROUND(((D96*D95)/30),2)*E86),0)</f>
        <v>0</v>
      </c>
      <c r="J90" s="182">
        <f>IF(C86&gt;0,(ROUND(C96*C85,2)*C86),0)</f>
        <v>0</v>
      </c>
      <c r="K90" s="182">
        <f>IF(D86&gt;0,(ROUND(C96,2)*D86),0)</f>
        <v>0</v>
      </c>
      <c r="L90" s="222">
        <f>E96</f>
        <v>0</v>
      </c>
      <c r="M90" s="645">
        <f>Q75+M80+L87</f>
        <v>0</v>
      </c>
      <c r="N90" s="646"/>
      <c r="O90" s="202"/>
      <c r="P90" s="223"/>
      <c r="Q90" s="224"/>
      <c r="R90" s="182"/>
      <c r="S90" s="185"/>
      <c r="T90" s="695" t="s">
        <v>153</v>
      </c>
      <c r="U90" s="696"/>
    </row>
    <row r="91" spans="1:21" ht="41.25" customHeight="1" thickTop="1">
      <c r="A91" s="568"/>
      <c r="B91" s="208"/>
      <c r="C91" s="208"/>
      <c r="D91" s="208"/>
      <c r="E91" s="203">
        <f>ROUND((E89*E90),2)</f>
        <v>0</v>
      </c>
      <c r="F91" s="225"/>
      <c r="G91" s="226"/>
      <c r="H91" s="653" t="s">
        <v>309</v>
      </c>
      <c r="I91" s="655" t="s">
        <v>154</v>
      </c>
      <c r="J91" s="657" t="s">
        <v>155</v>
      </c>
      <c r="K91" s="660" t="s">
        <v>156</v>
      </c>
      <c r="L91" s="661" t="s">
        <v>157</v>
      </c>
      <c r="M91" s="661"/>
      <c r="N91" s="661"/>
      <c r="O91" s="662"/>
      <c r="P91" s="663" t="s">
        <v>158</v>
      </c>
      <c r="Q91" s="227" t="s">
        <v>159</v>
      </c>
      <c r="R91" s="228" t="s">
        <v>160</v>
      </c>
      <c r="S91" s="229" t="s">
        <v>161</v>
      </c>
      <c r="T91" s="695" t="s">
        <v>162</v>
      </c>
      <c r="U91" s="696"/>
    </row>
    <row r="92" spans="1:21" ht="92.25" customHeight="1">
      <c r="A92" s="568"/>
      <c r="B92" s="664" t="s">
        <v>163</v>
      </c>
      <c r="C92" s="117" t="s">
        <v>164</v>
      </c>
      <c r="D92" s="337" t="s">
        <v>165</v>
      </c>
      <c r="E92" s="146" t="s">
        <v>166</v>
      </c>
      <c r="F92" s="697" t="s">
        <v>167</v>
      </c>
      <c r="G92" s="191" t="s">
        <v>168</v>
      </c>
      <c r="H92" s="654"/>
      <c r="I92" s="656"/>
      <c r="J92" s="658"/>
      <c r="K92" s="584"/>
      <c r="L92" s="232" t="s">
        <v>169</v>
      </c>
      <c r="M92" s="123" t="s">
        <v>170</v>
      </c>
      <c r="N92" s="136" t="s">
        <v>171</v>
      </c>
      <c r="O92" s="136" t="s">
        <v>172</v>
      </c>
      <c r="P92" s="556"/>
      <c r="Q92" s="233">
        <f>ROUND(IF(S97&gt;$N$4,IF(S97&lt;=$O$4,7866.25+((S97-$N$4)*$O$3)),0)+IF(S97&gt;$O$4,20177.65+((S97-$O$4)*$P$3),0)+IF(S97&lt;=$N$4,IF(S97*E103&gt;0,S97*E103),0),0.1)</f>
        <v>0</v>
      </c>
      <c r="R92" s="234">
        <f>IF(L87&gt;0,ROUND((ROUND((L87),0.1)*E103),0.1),0)</f>
        <v>0</v>
      </c>
      <c r="S92" s="235">
        <f>IF(Q92+R92-D103&gt;=0,Q92+R92-D103,0)+IF(D103-Q92+R92&gt;0&lt;D103+0.001,Q92+R92-D103,0)</f>
        <v>0</v>
      </c>
      <c r="T92" s="695" t="s">
        <v>173</v>
      </c>
      <c r="U92" s="696"/>
    </row>
    <row r="93" spans="1:21" ht="36.75" customHeight="1">
      <c r="A93" s="568"/>
      <c r="B93" s="665"/>
      <c r="C93" s="230"/>
      <c r="D93" s="236"/>
      <c r="E93" s="237"/>
      <c r="F93" s="698"/>
      <c r="G93" s="239" t="s">
        <v>310</v>
      </c>
      <c r="H93" s="654"/>
      <c r="I93" s="656"/>
      <c r="J93" s="658"/>
      <c r="K93" s="584"/>
      <c r="L93" s="123"/>
      <c r="M93" s="240"/>
      <c r="N93" s="241"/>
      <c r="O93" s="136"/>
      <c r="P93" s="556"/>
      <c r="Q93" s="668" t="s">
        <v>174</v>
      </c>
      <c r="R93" s="669"/>
      <c r="S93" s="235">
        <f>ROUND(IF(S92&gt;=L103,S92-L103,0),0.1)</f>
        <v>0</v>
      </c>
      <c r="T93" s="338" t="str">
        <f>L$8</f>
        <v>styczeń</v>
      </c>
      <c r="U93" s="339" t="str">
        <f>N$8</f>
        <v>2011 r.</v>
      </c>
    </row>
    <row r="94" spans="1:21" ht="48" customHeight="1">
      <c r="A94" s="568"/>
      <c r="B94" s="244">
        <f>IF(B95=0,IF(T75&gt;0,IF(T80&gt;0,IF(T80="I kl",O$1)+IF(T80="II kl",P$1)+IF(T80="III kl",Q$1),ROUND((E$1*B103),2)),0),0)</f>
        <v>0</v>
      </c>
      <c r="C94" s="118" t="s">
        <v>175</v>
      </c>
      <c r="D94" s="123" t="s">
        <v>176</v>
      </c>
      <c r="E94" s="245"/>
      <c r="F94" s="698"/>
      <c r="G94" s="139"/>
      <c r="H94" s="246">
        <f>IF(H95&gt;0,1,0)</f>
        <v>0</v>
      </c>
      <c r="I94" s="247">
        <f>IF(I95&gt;0,1,0)</f>
        <v>0</v>
      </c>
      <c r="J94" s="658"/>
      <c r="K94" s="248">
        <f aca="true" t="shared" si="8" ref="K94:P94">IF(K95&gt;0,1,0)</f>
        <v>0</v>
      </c>
      <c r="L94" s="249">
        <f t="shared" si="8"/>
        <v>0</v>
      </c>
      <c r="M94" s="250">
        <f t="shared" si="8"/>
        <v>0</v>
      </c>
      <c r="N94" s="249">
        <f t="shared" si="8"/>
        <v>0</v>
      </c>
      <c r="O94" s="251">
        <f t="shared" si="8"/>
        <v>0</v>
      </c>
      <c r="P94" s="252">
        <f t="shared" si="8"/>
        <v>0</v>
      </c>
      <c r="Q94" s="670" t="s">
        <v>177</v>
      </c>
      <c r="R94" s="253" t="s">
        <v>178</v>
      </c>
      <c r="S94" s="235">
        <v>0</v>
      </c>
      <c r="T94" s="647" t="s">
        <v>179</v>
      </c>
      <c r="U94" s="648"/>
    </row>
    <row r="95" spans="1:21" ht="57.75" customHeight="1" thickBot="1">
      <c r="A95" s="568"/>
      <c r="B95" s="254"/>
      <c r="C95" s="230"/>
      <c r="D95" s="177">
        <v>0.9</v>
      </c>
      <c r="E95" s="255">
        <f>IF(E93&gt;0,$U$1-E94,0)</f>
        <v>0</v>
      </c>
      <c r="F95" s="238">
        <f>IF(F96&gt;0,1,0)</f>
        <v>0</v>
      </c>
      <c r="G95" s="256" t="s">
        <v>180</v>
      </c>
      <c r="H95" s="257">
        <f>P74+L87-P103</f>
        <v>0</v>
      </c>
      <c r="I95" s="233">
        <f>L74+K86</f>
        <v>0</v>
      </c>
      <c r="J95" s="659"/>
      <c r="K95" s="244">
        <f>S79+K85+L85+O85+R85+O98+L101-N95</f>
        <v>0</v>
      </c>
      <c r="L95" s="244"/>
      <c r="M95" s="244">
        <f>G84+IF(G86&gt;0,G86,0)</f>
        <v>0</v>
      </c>
      <c r="N95" s="244">
        <f>L101-L103</f>
        <v>0</v>
      </c>
      <c r="O95" s="244"/>
      <c r="P95" s="258">
        <f>SUM(K95:O95)</f>
        <v>0</v>
      </c>
      <c r="Q95" s="671"/>
      <c r="R95" s="259" t="s">
        <v>181</v>
      </c>
      <c r="S95" s="235">
        <v>0</v>
      </c>
      <c r="T95" s="647" t="s">
        <v>182</v>
      </c>
      <c r="U95" s="648"/>
    </row>
    <row r="96" spans="1:21" ht="45.75" customHeight="1" thickBot="1" thickTop="1">
      <c r="A96" s="569"/>
      <c r="B96" s="244">
        <f>IF(B95=0,ROUND(IF(B94&gt;0,CEILING((B94/G78),0.01),B95),2),B95)</f>
        <v>0</v>
      </c>
      <c r="C96" s="244">
        <f>IF(T75&gt;0,(IF(C93&gt;0,ROUND(((C93-(C93*(B99+C99+D99)))/30),2),0)+IF(C95&gt;0,ROUND((C95/30),2),0))+(IF(IF(C93&gt;0,ROUND(((C93-(C93*(B99+C99+D99)))/30),2),0)+IF(C95&gt;0,ROUND((C95/30),2),0)&lt;ROUND((($F$1*B103)/30),2),(IF(C93+C95&gt;0,ROUND((($F$1*B103)/30),2)-(IF(C93&gt;0,ROUND(((C93-(C93*(B99+C99+D99)))/30),2),0)+IF(C95&gt;0,ROUND((C95/30),2),0)))),0)),0)</f>
        <v>0</v>
      </c>
      <c r="D96" s="244"/>
      <c r="E96" s="244">
        <f>IF(E95&gt;0,IF(ROUND(E93-((E93/30)*E94),2)-H98+O98&gt;0,ROUND(E93-((E93/30)*E94),2)-H98+O98,0),0)</f>
        <v>0</v>
      </c>
      <c r="F96" s="137"/>
      <c r="G96" s="139"/>
      <c r="H96" s="672" t="s">
        <v>183</v>
      </c>
      <c r="I96" s="673"/>
      <c r="J96" s="673"/>
      <c r="K96" s="673"/>
      <c r="L96" s="673"/>
      <c r="M96" s="674" t="s">
        <v>184</v>
      </c>
      <c r="N96" s="675"/>
      <c r="O96" s="260" t="s">
        <v>185</v>
      </c>
      <c r="P96" s="261" t="s">
        <v>186</v>
      </c>
      <c r="Q96" s="676" t="s">
        <v>187</v>
      </c>
      <c r="R96" s="677"/>
      <c r="S96" s="262">
        <f>ROUND((IF(S93-S94&gt;=0,S93-S94,0)+S95),0.1)</f>
        <v>0</v>
      </c>
      <c r="T96" s="263" t="str">
        <f>L$8</f>
        <v>styczeń</v>
      </c>
      <c r="U96" s="264" t="str">
        <f>N$8</f>
        <v>2011 r.</v>
      </c>
    </row>
    <row r="97" spans="1:21" ht="69.75" customHeight="1" thickBot="1" thickTop="1">
      <c r="A97" s="568"/>
      <c r="B97" s="699" t="s">
        <v>188</v>
      </c>
      <c r="C97" s="700"/>
      <c r="D97" s="700"/>
      <c r="E97" s="701"/>
      <c r="F97" s="265" t="s">
        <v>189</v>
      </c>
      <c r="G97" s="266" t="s">
        <v>190</v>
      </c>
      <c r="H97" s="267" t="s">
        <v>191</v>
      </c>
      <c r="I97" s="268" t="s">
        <v>192</v>
      </c>
      <c r="J97" s="269" t="s">
        <v>193</v>
      </c>
      <c r="K97" s="238" t="s">
        <v>194</v>
      </c>
      <c r="L97" s="270" t="s">
        <v>195</v>
      </c>
      <c r="M97" s="198" t="s">
        <v>196</v>
      </c>
      <c r="N97" s="271" t="s">
        <v>197</v>
      </c>
      <c r="O97" s="294" t="s">
        <v>198</v>
      </c>
      <c r="P97" s="273" t="s">
        <v>199</v>
      </c>
      <c r="Q97" s="340" t="s">
        <v>200</v>
      </c>
      <c r="R97" s="275" t="s">
        <v>201</v>
      </c>
      <c r="S97" s="276">
        <f>IF(ROUND((P74-P103-C103),0.1)&gt;0,ROUND((P74-P103-C103),0.1),0)</f>
        <v>0</v>
      </c>
      <c r="T97" s="277"/>
      <c r="U97" s="278"/>
    </row>
    <row r="98" spans="1:21" ht="81" customHeight="1" thickTop="1">
      <c r="A98" s="568"/>
      <c r="B98" s="279" t="s">
        <v>202</v>
      </c>
      <c r="C98" s="279" t="s">
        <v>203</v>
      </c>
      <c r="D98" s="279" t="s">
        <v>204</v>
      </c>
      <c r="E98" s="279" t="s">
        <v>205</v>
      </c>
      <c r="F98" s="279" t="s">
        <v>206</v>
      </c>
      <c r="G98" s="280">
        <f>ROUND((H98*G100),2)</f>
        <v>0</v>
      </c>
      <c r="H98" s="281">
        <f>Q75+O85</f>
        <v>0</v>
      </c>
      <c r="I98" s="282">
        <f>Q75+O85</f>
        <v>0</v>
      </c>
      <c r="J98" s="282">
        <f>Q75+O85</f>
        <v>0</v>
      </c>
      <c r="K98" s="282">
        <f>Q75+O85</f>
        <v>0</v>
      </c>
      <c r="L98" s="283">
        <f>Q75+H85+I85-O98+O85</f>
        <v>0</v>
      </c>
      <c r="M98" s="284">
        <f>IF(D93&gt;0,IF(D93&lt;$U$1,ROUND((($E$1/$U$1)*D93),2),$E$1))+IF(K90&gt;0,K90,0)</f>
        <v>0</v>
      </c>
      <c r="N98" s="285">
        <f>M98</f>
        <v>0</v>
      </c>
      <c r="O98" s="286">
        <f>SUM(H101:J101)</f>
        <v>0</v>
      </c>
      <c r="P98" s="287">
        <f>IF(P99&gt;0,1,0)</f>
        <v>0</v>
      </c>
      <c r="Q98" s="288">
        <f>ROUND((H98-O85-P103+H85+I85)*$R$3,2)</f>
        <v>0</v>
      </c>
      <c r="R98" s="681" t="s">
        <v>207</v>
      </c>
      <c r="S98" s="683" t="s">
        <v>311</v>
      </c>
      <c r="T98" s="289"/>
      <c r="U98" s="278"/>
    </row>
    <row r="99" spans="1:21" ht="38.25" customHeight="1">
      <c r="A99" s="568"/>
      <c r="B99" s="158">
        <f>IF(H98&gt;0,B$2,0)</f>
        <v>0</v>
      </c>
      <c r="C99" s="158">
        <f>IF(I98&gt;0,H$4,0)</f>
        <v>0</v>
      </c>
      <c r="D99" s="158">
        <f>IF(J98&gt;0,F$2,0)</f>
        <v>0</v>
      </c>
      <c r="E99" s="158" t="s">
        <v>208</v>
      </c>
      <c r="F99" s="290" t="s">
        <v>209</v>
      </c>
      <c r="G99" s="291">
        <v>0</v>
      </c>
      <c r="H99" s="685" t="s">
        <v>210</v>
      </c>
      <c r="I99" s="686"/>
      <c r="J99" s="686"/>
      <c r="K99" s="686"/>
      <c r="L99" s="686"/>
      <c r="M99" s="292" t="s">
        <v>211</v>
      </c>
      <c r="N99" s="293" t="s">
        <v>212</v>
      </c>
      <c r="O99" s="294" t="s">
        <v>213</v>
      </c>
      <c r="P99" s="52">
        <f>IF(I98&lt;$E$1,IF(B103=1,IF(T80=0,ROUND((I98*$L$2),2),0),0),ROUND((I98*$L$2),2))</f>
        <v>0</v>
      </c>
      <c r="Q99" s="295" t="s">
        <v>214</v>
      </c>
      <c r="R99" s="682"/>
      <c r="S99" s="684"/>
      <c r="T99" s="289"/>
      <c r="U99" s="278"/>
    </row>
    <row r="100" spans="1:21" ht="42.75" customHeight="1" thickBot="1">
      <c r="A100" s="568"/>
      <c r="B100" s="158">
        <f>IF(H98&gt;0,B$2,0)</f>
        <v>0</v>
      </c>
      <c r="C100" s="158">
        <f>IF(I98&gt;0,D$2,0)</f>
        <v>0</v>
      </c>
      <c r="D100" s="158" t="s">
        <v>208</v>
      </c>
      <c r="E100" s="158">
        <f>IF(K98&gt;0,H$2,0)</f>
        <v>0</v>
      </c>
      <c r="F100" s="158">
        <f>IF(L98&gt;0,J$2,0)</f>
        <v>0</v>
      </c>
      <c r="G100" s="158">
        <f>IF(G99&gt;0,L$1,0)</f>
        <v>0</v>
      </c>
      <c r="H100" s="296" t="s">
        <v>215</v>
      </c>
      <c r="I100" s="297" t="s">
        <v>215</v>
      </c>
      <c r="J100" s="297" t="s">
        <v>215</v>
      </c>
      <c r="K100" s="298" t="s">
        <v>209</v>
      </c>
      <c r="L100" s="299" t="s">
        <v>215</v>
      </c>
      <c r="M100" s="300">
        <f>ROUND(M98*(B$2+B$2),2)</f>
        <v>0</v>
      </c>
      <c r="N100" s="301">
        <f>ROUND(N98*(D$2+H$4),2)</f>
        <v>0</v>
      </c>
      <c r="O100" s="302">
        <f>H103+I103+K103+G98</f>
        <v>0</v>
      </c>
      <c r="P100" s="303" t="s">
        <v>216</v>
      </c>
      <c r="Q100" s="304">
        <f>ROUND((L98*J$2),2)</f>
        <v>0</v>
      </c>
      <c r="R100" s="305" t="s">
        <v>217</v>
      </c>
      <c r="S100" s="684"/>
      <c r="T100" s="289"/>
      <c r="U100" s="278"/>
    </row>
    <row r="101" spans="1:21" ht="53.25" customHeight="1" thickBot="1" thickTop="1">
      <c r="A101" s="568"/>
      <c r="B101" s="141">
        <f>IF(B99+B100&gt;0,1,0)</f>
        <v>0</v>
      </c>
      <c r="C101" s="141">
        <f>IF(C99+C100&gt;0,1,0)</f>
        <v>0</v>
      </c>
      <c r="D101" s="141">
        <f>IF(D99&gt;0,1,0)</f>
        <v>0</v>
      </c>
      <c r="E101" s="141">
        <f>IF(E100&gt;0,1,0)</f>
        <v>0</v>
      </c>
      <c r="F101" s="141">
        <f>IF(F100&gt;0,1,0)</f>
        <v>0</v>
      </c>
      <c r="G101" s="141">
        <f>IF(G100&gt;0,1,0)</f>
        <v>0</v>
      </c>
      <c r="H101" s="306">
        <f>ROUND(H98*B99,2)</f>
        <v>0</v>
      </c>
      <c r="I101" s="307">
        <f>ROUND(I98*C99,2)</f>
        <v>0</v>
      </c>
      <c r="J101" s="307">
        <f>ROUND(J98*D99,2)</f>
        <v>0</v>
      </c>
      <c r="K101" s="244" t="s">
        <v>209</v>
      </c>
      <c r="L101" s="307">
        <f>IF(S92&gt;=ROUND(L98*F100,2),ROUND(L98*F100,2),S92)</f>
        <v>0</v>
      </c>
      <c r="M101" s="687" t="s">
        <v>218</v>
      </c>
      <c r="N101" s="688"/>
      <c r="O101" s="689" t="s">
        <v>219</v>
      </c>
      <c r="P101" s="308">
        <f>IF(P102&gt;0,1,0)</f>
        <v>0</v>
      </c>
      <c r="Q101" s="309" t="s">
        <v>220</v>
      </c>
      <c r="R101" s="310">
        <f>IF(B78=G78,H79+I79+J79+L79+O79+R79+IF(K79&gt;0,ROUND((K79/K77),2),0),0)+IF(B78&lt;G78,IF(B78&gt;0,ROUND((((H79+J79)/B78)*(G78-B91)),2)+IF(K79&gt;0,ROUND((K79/K77),2),0)+I79+L79+O79+R79,0),0)</f>
        <v>0</v>
      </c>
      <c r="S101" s="235">
        <f>IF(S93-S94&lt;0,S94-S93,0)</f>
        <v>0</v>
      </c>
      <c r="T101" s="289"/>
      <c r="U101" s="278"/>
    </row>
    <row r="102" spans="1:22" ht="63" customHeight="1" thickBot="1" thickTop="1">
      <c r="A102" s="568"/>
      <c r="B102" s="311" t="s">
        <v>221</v>
      </c>
      <c r="C102" s="311" t="s">
        <v>222</v>
      </c>
      <c r="D102" s="311" t="s">
        <v>34</v>
      </c>
      <c r="E102" s="146" t="s">
        <v>223</v>
      </c>
      <c r="F102" s="312" t="s">
        <v>224</v>
      </c>
      <c r="G102" s="139">
        <f>IF(Q98&gt;Q92,Q98-Q92,0)</f>
        <v>0</v>
      </c>
      <c r="H102" s="313" t="s">
        <v>225</v>
      </c>
      <c r="I102" s="314" t="s">
        <v>225</v>
      </c>
      <c r="J102" s="298" t="s">
        <v>209</v>
      </c>
      <c r="K102" s="315" t="s">
        <v>225</v>
      </c>
      <c r="L102" s="316" t="s">
        <v>226</v>
      </c>
      <c r="M102" s="317" t="s">
        <v>227</v>
      </c>
      <c r="N102" s="318" t="s">
        <v>228</v>
      </c>
      <c r="O102" s="690"/>
      <c r="P102" s="319">
        <f>ROUND(N$2*H98,2)</f>
        <v>0</v>
      </c>
      <c r="Q102" s="320">
        <f>IF(D93&gt;0,$U$2,0)</f>
        <v>0</v>
      </c>
      <c r="R102" s="321" t="s">
        <v>229</v>
      </c>
      <c r="S102" s="322" t="s">
        <v>230</v>
      </c>
      <c r="T102" s="691" t="s">
        <v>231</v>
      </c>
      <c r="U102" s="702"/>
      <c r="V102" s="323">
        <f>IF(ISBLANK(AM74),0,IF(IF(AF89&gt;=AI$2,AI$2,AF89)&gt;0,IF(AF89&gt;=AI$2,AI$2,AF89),0))</f>
        <v>0</v>
      </c>
    </row>
    <row r="103" spans="1:22" ht="42" customHeight="1" thickBot="1" thickTop="1">
      <c r="A103" s="570"/>
      <c r="B103" s="324">
        <f>IF(ISBLANK(T75),0,1)</f>
        <v>0</v>
      </c>
      <c r="C103" s="324">
        <f>IF(ISBLANK(T75),0,IF(IF(M90&gt;=P$2,P$2,M90)&gt;0,IF(M90&gt;=P$2,P$2,M90),0))</f>
        <v>0</v>
      </c>
      <c r="D103" s="324">
        <f>IF(ISBLANK(T75),0,S$1)</f>
        <v>0</v>
      </c>
      <c r="E103" s="325">
        <f>IF(G78&gt;0,$N$3,0)</f>
        <v>0</v>
      </c>
      <c r="F103" s="326">
        <f>O98+O100+P99+P102+L101+S96</f>
        <v>0</v>
      </c>
      <c r="G103" s="327">
        <f>IF(G102&gt;0,1,0)</f>
        <v>0</v>
      </c>
      <c r="H103" s="328">
        <f>ROUND(H98*B99,2)</f>
        <v>0</v>
      </c>
      <c r="I103" s="329">
        <f>ROUND(I98*C100,2)</f>
        <v>0</v>
      </c>
      <c r="J103" s="182" t="s">
        <v>209</v>
      </c>
      <c r="K103" s="330">
        <f>ROUND(K98*E100,2)</f>
        <v>0</v>
      </c>
      <c r="L103" s="185">
        <f>IF(S92&gt;=ROUND((H98-O85-P103+H85+I85)*$R$3,2),ROUND((H98-O85-P103+H85+I85)*$R$3,2),S92)</f>
        <v>0</v>
      </c>
      <c r="M103" s="179">
        <f>O98+O100</f>
        <v>0</v>
      </c>
      <c r="N103" s="331">
        <f>M103+L101</f>
        <v>0</v>
      </c>
      <c r="O103" s="332">
        <f>SUM(M100:N100)</f>
        <v>0</v>
      </c>
      <c r="P103" s="333">
        <f>ROUND(Q75*B99,2)+ROUND(Q75*C99,2)+ROUND(Q75*D99,2)</f>
        <v>0</v>
      </c>
      <c r="Q103" s="334">
        <f>IF(D93&gt;0,ROUND(($U$2*J$2),2),0)</f>
        <v>0</v>
      </c>
      <c r="R103" s="335">
        <f>IF(B78&gt;=G78/2,IF(B78=G78,H79+I79+J79+L79+O79+P79+R79+IF(K79&gt;0,ROUND((K79/K77),2),0),ROUND((((H79+J79+L79)/B78)*(G78-B91)),2)+IF(K79&gt;0,ROUND((K79/K77),2),0)+I79+O79+P79+R79),0)</f>
        <v>0</v>
      </c>
      <c r="S103" s="336">
        <f>IF(P74-O98-S96-L101&gt;0,P74-O98-S96-L101,0)</f>
        <v>0</v>
      </c>
      <c r="T103" s="693" t="s">
        <v>232</v>
      </c>
      <c r="U103" s="703"/>
      <c r="V103" s="323">
        <f>IF(ISBLANK(AM75),0,IF(IF(AF90&gt;=AJ$2,AJ$2,AF90)&gt;0,IF(AF90&gt;=AJ$2,AJ$2,AF90),0))</f>
        <v>0</v>
      </c>
    </row>
    <row r="104" ht="24" customHeight="1" thickTop="1"/>
    <row r="105" spans="1:23" ht="33" customHeight="1" thickBot="1">
      <c r="A105" s="111" t="s">
        <v>72</v>
      </c>
      <c r="B105" s="112" t="s">
        <v>73</v>
      </c>
      <c r="C105" s="113"/>
      <c r="D105" s="113"/>
      <c r="E105" s="114"/>
      <c r="F105" s="553" t="s">
        <v>74</v>
      </c>
      <c r="G105" s="555" t="s">
        <v>75</v>
      </c>
      <c r="H105" s="557" t="s">
        <v>76</v>
      </c>
      <c r="I105" s="557"/>
      <c r="J105" s="558"/>
      <c r="K105" s="559"/>
      <c r="L105" s="560"/>
      <c r="M105" s="560"/>
      <c r="N105" s="560"/>
      <c r="O105" s="561"/>
      <c r="P105" s="559"/>
      <c r="Q105" s="560"/>
      <c r="R105" s="560"/>
      <c r="S105" s="560"/>
      <c r="T105" s="565" t="s">
        <v>77</v>
      </c>
      <c r="U105" s="566"/>
      <c r="V105" s="102"/>
      <c r="W105" s="115"/>
    </row>
    <row r="106" spans="1:23" ht="44.25" customHeight="1" thickBot="1" thickTop="1">
      <c r="A106" s="567">
        <f>A74+1</f>
        <v>4</v>
      </c>
      <c r="B106" s="571" t="s">
        <v>79</v>
      </c>
      <c r="C106" s="571" t="s">
        <v>80</v>
      </c>
      <c r="D106" s="573" t="s">
        <v>81</v>
      </c>
      <c r="E106" s="573"/>
      <c r="F106" s="554"/>
      <c r="G106" s="556"/>
      <c r="H106" s="574" t="s">
        <v>82</v>
      </c>
      <c r="I106" s="574"/>
      <c r="J106" s="574"/>
      <c r="K106" s="574"/>
      <c r="L106" s="575">
        <f>P106+S112</f>
        <v>0</v>
      </c>
      <c r="M106" s="576"/>
      <c r="N106" s="577" t="s">
        <v>83</v>
      </c>
      <c r="O106" s="578"/>
      <c r="P106" s="575">
        <f>Q107+M112</f>
        <v>0</v>
      </c>
      <c r="Q106" s="576"/>
      <c r="R106" s="119"/>
      <c r="S106" s="120"/>
      <c r="T106" s="121"/>
      <c r="U106" s="122"/>
      <c r="V106" s="102"/>
      <c r="W106" s="115"/>
    </row>
    <row r="107" spans="1:23" ht="36.75" customHeight="1">
      <c r="A107" s="568"/>
      <c r="B107" s="572"/>
      <c r="C107" s="572"/>
      <c r="D107" s="124" t="s">
        <v>85</v>
      </c>
      <c r="E107" s="124" t="s">
        <v>86</v>
      </c>
      <c r="F107" s="554"/>
      <c r="G107" s="556"/>
      <c r="H107" s="562" t="s">
        <v>87</v>
      </c>
      <c r="I107" s="563"/>
      <c r="J107" s="563"/>
      <c r="K107" s="563"/>
      <c r="L107" s="563"/>
      <c r="M107" s="563"/>
      <c r="N107" s="563"/>
      <c r="O107" s="563"/>
      <c r="P107" s="564"/>
      <c r="Q107" s="579">
        <f>SUM(H111:S111)</f>
        <v>0</v>
      </c>
      <c r="R107" s="580"/>
      <c r="S107" s="125"/>
      <c r="T107" s="581"/>
      <c r="U107" s="582"/>
      <c r="V107" s="102"/>
      <c r="W107" s="115"/>
    </row>
    <row r="108" spans="1:23" ht="38.25" customHeight="1">
      <c r="A108" s="568"/>
      <c r="B108" s="572"/>
      <c r="C108" s="126"/>
      <c r="D108" s="124" t="s">
        <v>89</v>
      </c>
      <c r="E108" s="124" t="s">
        <v>89</v>
      </c>
      <c r="F108" s="554"/>
      <c r="G108" s="127"/>
      <c r="H108" s="128" t="s">
        <v>90</v>
      </c>
      <c r="I108" s="129" t="s">
        <v>91</v>
      </c>
      <c r="J108" s="129" t="s">
        <v>92</v>
      </c>
      <c r="K108" s="130" t="s">
        <v>93</v>
      </c>
      <c r="L108" s="583" t="s">
        <v>94</v>
      </c>
      <c r="M108" s="583" t="s">
        <v>95</v>
      </c>
      <c r="N108" s="583" t="s">
        <v>96</v>
      </c>
      <c r="O108" s="585" t="s">
        <v>97</v>
      </c>
      <c r="P108" s="583" t="s">
        <v>98</v>
      </c>
      <c r="Q108" s="587" t="s">
        <v>99</v>
      </c>
      <c r="R108" s="589" t="s">
        <v>100</v>
      </c>
      <c r="S108" s="591" t="s">
        <v>101</v>
      </c>
      <c r="T108" s="581"/>
      <c r="U108" s="582"/>
      <c r="V108" s="102"/>
      <c r="W108" s="115"/>
    </row>
    <row r="109" spans="1:23" ht="30" customHeight="1">
      <c r="A109" s="568"/>
      <c r="B109" s="572"/>
      <c r="C109" s="131"/>
      <c r="D109" s="131"/>
      <c r="E109" s="131"/>
      <c r="F109" s="554"/>
      <c r="G109" s="127"/>
      <c r="H109" s="132" t="s">
        <v>103</v>
      </c>
      <c r="I109" s="133" t="s">
        <v>104</v>
      </c>
      <c r="J109" s="134">
        <v>0</v>
      </c>
      <c r="K109" s="135">
        <v>1</v>
      </c>
      <c r="L109" s="584"/>
      <c r="M109" s="584"/>
      <c r="N109" s="584"/>
      <c r="O109" s="586"/>
      <c r="P109" s="584"/>
      <c r="Q109" s="588"/>
      <c r="R109" s="590"/>
      <c r="S109" s="592"/>
      <c r="T109" s="581"/>
      <c r="U109" s="582"/>
      <c r="V109" s="102"/>
      <c r="W109" s="115"/>
    </row>
    <row r="110" spans="1:21" ht="51" customHeight="1">
      <c r="A110" s="568"/>
      <c r="B110" s="137">
        <f>G110</f>
        <v>0</v>
      </c>
      <c r="C110" s="137"/>
      <c r="D110" s="137"/>
      <c r="E110" s="138"/>
      <c r="F110" s="138"/>
      <c r="G110" s="139">
        <f>B$1*B135</f>
        <v>0</v>
      </c>
      <c r="H110" s="140">
        <f aca="true" t="shared" si="9" ref="H110:S110">IF(H111&gt;0,1,0)</f>
        <v>0</v>
      </c>
      <c r="I110" s="141">
        <f t="shared" si="9"/>
        <v>0</v>
      </c>
      <c r="J110" s="141">
        <f t="shared" si="9"/>
        <v>0</v>
      </c>
      <c r="K110" s="142">
        <f t="shared" si="9"/>
        <v>0</v>
      </c>
      <c r="L110" s="142">
        <f t="shared" si="9"/>
        <v>0</v>
      </c>
      <c r="M110" s="142">
        <f t="shared" si="9"/>
        <v>0</v>
      </c>
      <c r="N110" s="142">
        <f t="shared" si="9"/>
        <v>0</v>
      </c>
      <c r="O110" s="141">
        <f t="shared" si="9"/>
        <v>0</v>
      </c>
      <c r="P110" s="142">
        <f t="shared" si="9"/>
        <v>0</v>
      </c>
      <c r="Q110" s="142">
        <f t="shared" si="9"/>
        <v>0</v>
      </c>
      <c r="R110" s="143">
        <f t="shared" si="9"/>
        <v>0</v>
      </c>
      <c r="S110" s="144">
        <f t="shared" si="9"/>
        <v>0</v>
      </c>
      <c r="T110" s="593"/>
      <c r="U110" s="594"/>
    </row>
    <row r="111" spans="1:22" ht="49.5" customHeight="1" thickBot="1">
      <c r="A111" s="568"/>
      <c r="B111" s="595" t="s">
        <v>106</v>
      </c>
      <c r="C111" s="595" t="s">
        <v>107</v>
      </c>
      <c r="D111" s="596" t="s">
        <v>108</v>
      </c>
      <c r="E111" s="148" t="s">
        <v>109</v>
      </c>
      <c r="F111" s="149"/>
      <c r="G111" s="597" t="s">
        <v>110</v>
      </c>
      <c r="H111" s="150">
        <f>IF(B110+B114+B121+B123+C120+D114+F111&gt;0,IF(B126&gt;0,B126-(IF(E114+F114+G114+B118+C118+D118+E118+F118&gt;0,ROUND((B126/30)*IF(E114+F114+G114+B118+C118+D118+E118+F118&lt;31,E114+F114+G114+B118+C118+D118+E118+F118,30),2),0)+ROUND(((B126/G110)*(B114+B121+B123+C120+D114)),2)),0),0)+IF(B110&gt;G110,IF(B126&gt;0,(B110-G110)*B128,0),0)+IF(B127&gt;0,B127*B110,0)-IF(IF(B110+B114+B121+B123+C120+D114+F111&gt;0,IF(B126&gt;0,B126-(IF(E114+F114+G114+B118+C118+D118+E118+F118&gt;0,ROUND((B126/30)*IF(E114+F114+G114+B118+C118+D118+E118+F118&lt;31,E114+F114+G114+B118+C118+D118+E118+F118,30),2),0)+ROUND(((B126/G110)*(B114+B121+B123+C120+D114)),2)),0),0)&lt;0,IF(B110+B114+B121+B123+C120+D114+F111&gt;0,IF(B126&gt;0,B126-(IF(E114+F114+G114+B118+C118+D118+E118+F118&gt;0,ROUND((B126/30)*IF(E114+F114+G114+B118+C118+D118+E118+F118&lt;31,E114+F114+G114+B118+C118+D118+E118+F118,30),2),0)+ROUND(((B126/G110)*(B114+B121+B123+C120+D114)),2)),0),0),0)</f>
        <v>0</v>
      </c>
      <c r="I111" s="151">
        <f>ROUND(D110*ROUND(B128*150%,2)+E110*ROUND(B128*200%,2),2)</f>
        <v>0</v>
      </c>
      <c r="J111" s="151">
        <f>ROUND((J109*H111),2)</f>
        <v>0</v>
      </c>
      <c r="K111" s="151"/>
      <c r="L111" s="151">
        <f>IF(C110&gt;0,C110*ROUND(B128*U$3,2),0)+IF(U$3=0,IF(C110&gt;0,C110*ROUND(20%*ROUND(E$1/G110,2),2),0))</f>
        <v>0</v>
      </c>
      <c r="M111" s="151">
        <f>IF(B114&gt;0,ROUND((B114*C123),2),0)</f>
        <v>0</v>
      </c>
      <c r="N111" s="151">
        <f>IF(B110+D110+E110+F110&gt;0,ROUND((((H111+I111+J111+L111+O111)/(B110+D110+E110+F110))*D114),2),B128*D114)</f>
        <v>0</v>
      </c>
      <c r="O111" s="151">
        <f>ROUND((F110*B128),2)</f>
        <v>0</v>
      </c>
      <c r="P111" s="151">
        <f>IF(C114&gt;0,ROUND((D123/($I$1*8*B135)),2)*C114,0)</f>
        <v>0</v>
      </c>
      <c r="Q111" s="151"/>
      <c r="R111" s="152"/>
      <c r="S111" s="153">
        <f>IF(G128&gt;500,G128-500,0)+IF(F128&gt;190,F128-190,0)</f>
        <v>0</v>
      </c>
      <c r="T111" s="593"/>
      <c r="U111" s="594"/>
      <c r="V111" s="154"/>
    </row>
    <row r="112" spans="1:21" ht="57" customHeight="1">
      <c r="A112" s="568"/>
      <c r="B112" s="554"/>
      <c r="C112" s="554"/>
      <c r="D112" s="554"/>
      <c r="E112" s="599" t="s">
        <v>112</v>
      </c>
      <c r="F112" s="599"/>
      <c r="G112" s="598"/>
      <c r="H112" s="600" t="s">
        <v>113</v>
      </c>
      <c r="I112" s="601"/>
      <c r="J112" s="601"/>
      <c r="K112" s="601"/>
      <c r="L112" s="601"/>
      <c r="M112" s="602">
        <f>H117+I117+M113</f>
        <v>0</v>
      </c>
      <c r="N112" s="603"/>
      <c r="O112" s="604" t="s">
        <v>114</v>
      </c>
      <c r="P112" s="604"/>
      <c r="Q112" s="604"/>
      <c r="R112" s="604"/>
      <c r="S112" s="156">
        <f>S113+O117</f>
        <v>0</v>
      </c>
      <c r="T112" s="605"/>
      <c r="U112" s="606"/>
    </row>
    <row r="113" spans="1:21" ht="38.25" customHeight="1">
      <c r="A113" s="568"/>
      <c r="B113" s="157"/>
      <c r="C113" s="131"/>
      <c r="D113" s="131"/>
      <c r="E113" s="158">
        <v>0.8</v>
      </c>
      <c r="F113" s="158">
        <v>1</v>
      </c>
      <c r="G113" s="159">
        <v>0.8</v>
      </c>
      <c r="H113" s="607" t="s">
        <v>115</v>
      </c>
      <c r="I113" s="608"/>
      <c r="J113" s="609" t="s">
        <v>116</v>
      </c>
      <c r="K113" s="610"/>
      <c r="L113" s="610"/>
      <c r="M113" s="611">
        <f>SUM(J117:N117)</f>
        <v>0</v>
      </c>
      <c r="N113" s="612"/>
      <c r="O113" s="160" t="s">
        <v>117</v>
      </c>
      <c r="P113" s="613" t="s">
        <v>118</v>
      </c>
      <c r="Q113" s="614"/>
      <c r="R113" s="615"/>
      <c r="S113" s="161">
        <f>SUM(P117:S117)</f>
        <v>0</v>
      </c>
      <c r="T113" s="616"/>
      <c r="U113" s="617"/>
    </row>
    <row r="114" spans="1:21" ht="40.5" customHeight="1">
      <c r="A114" s="568"/>
      <c r="B114" s="137"/>
      <c r="C114" s="137"/>
      <c r="D114" s="137"/>
      <c r="E114" s="137"/>
      <c r="F114" s="137"/>
      <c r="G114" s="139"/>
      <c r="H114" s="618" t="s">
        <v>119</v>
      </c>
      <c r="I114" s="162"/>
      <c r="J114" s="620" t="s">
        <v>120</v>
      </c>
      <c r="K114" s="595" t="s">
        <v>121</v>
      </c>
      <c r="L114" s="595" t="s">
        <v>122</v>
      </c>
      <c r="M114" s="595" t="s">
        <v>123</v>
      </c>
      <c r="N114" s="163" t="s">
        <v>124</v>
      </c>
      <c r="O114" s="622" t="s">
        <v>125</v>
      </c>
      <c r="P114" s="624" t="s">
        <v>126</v>
      </c>
      <c r="Q114" s="584" t="s">
        <v>127</v>
      </c>
      <c r="R114" s="634" t="s">
        <v>128</v>
      </c>
      <c r="S114" s="633" t="s">
        <v>129</v>
      </c>
      <c r="T114" s="164"/>
      <c r="U114" s="165"/>
    </row>
    <row r="115" spans="1:21" ht="39.75" customHeight="1">
      <c r="A115" s="568"/>
      <c r="B115" s="571" t="s">
        <v>110</v>
      </c>
      <c r="C115" s="571" t="s">
        <v>130</v>
      </c>
      <c r="D115" s="571" t="s">
        <v>131</v>
      </c>
      <c r="E115" s="571" t="s">
        <v>132</v>
      </c>
      <c r="F115" s="571" t="s">
        <v>110</v>
      </c>
      <c r="G115" s="166" t="s">
        <v>133</v>
      </c>
      <c r="H115" s="619"/>
      <c r="I115" s="167"/>
      <c r="J115" s="621"/>
      <c r="K115" s="554"/>
      <c r="L115" s="554"/>
      <c r="M115" s="554"/>
      <c r="N115" s="168" t="s">
        <v>134</v>
      </c>
      <c r="O115" s="623"/>
      <c r="P115" s="624"/>
      <c r="Q115" s="584"/>
      <c r="R115" s="634"/>
      <c r="S115" s="633"/>
      <c r="T115" s="627">
        <f>I127-S128-P127</f>
        <v>0</v>
      </c>
      <c r="U115" s="628"/>
    </row>
    <row r="116" spans="1:21" ht="35.25" customHeight="1">
      <c r="A116" s="568"/>
      <c r="B116" s="572"/>
      <c r="C116" s="572"/>
      <c r="D116" s="572"/>
      <c r="E116" s="572"/>
      <c r="F116" s="572"/>
      <c r="G116" s="139"/>
      <c r="H116" s="169">
        <f aca="true" t="shared" si="10" ref="H116:M116">IF(H117&gt;0,1,0)</f>
        <v>0</v>
      </c>
      <c r="I116" s="170">
        <f t="shared" si="10"/>
        <v>0</v>
      </c>
      <c r="J116" s="171">
        <f t="shared" si="10"/>
        <v>0</v>
      </c>
      <c r="K116" s="172">
        <f t="shared" si="10"/>
        <v>0</v>
      </c>
      <c r="L116" s="173">
        <f t="shared" si="10"/>
        <v>0</v>
      </c>
      <c r="M116" s="173">
        <f t="shared" si="10"/>
        <v>0</v>
      </c>
      <c r="N116" s="174">
        <v>0</v>
      </c>
      <c r="O116" s="175">
        <f>IF(O117&gt;0,1,0)</f>
        <v>0</v>
      </c>
      <c r="P116" s="171">
        <f>IF(P117&gt;0,1,0)</f>
        <v>0</v>
      </c>
      <c r="Q116" s="173">
        <f>IF(Q117&gt;0,1,0)</f>
        <v>0</v>
      </c>
      <c r="R116" s="173">
        <f>IF(R117&gt;0,1,0)</f>
        <v>0</v>
      </c>
      <c r="S116" s="176">
        <f>IF(S117&gt;0,1,0)</f>
        <v>0</v>
      </c>
      <c r="T116" s="627"/>
      <c r="U116" s="628"/>
    </row>
    <row r="117" spans="1:21" ht="36" customHeight="1" thickBot="1">
      <c r="A117" s="568"/>
      <c r="B117" s="177">
        <v>1</v>
      </c>
      <c r="C117" s="177">
        <v>0.8</v>
      </c>
      <c r="D117" s="572"/>
      <c r="E117" s="572"/>
      <c r="F117" s="177">
        <v>0.7</v>
      </c>
      <c r="G117" s="178">
        <v>0</v>
      </c>
      <c r="H117" s="179">
        <f>IF(E114&gt;0,ROUND((C128*E113),2)*E114,0)+IF(F114&gt;0,C128*F114,0)</f>
        <v>0</v>
      </c>
      <c r="I117" s="180"/>
      <c r="J117" s="181">
        <f>IF(G110&gt;0,IF(B110&gt;=G110,E123-((E123/22)*F123),(E123-(ROUND(((E123/22)*(((G110-B110)/8*B135)+F123)),2))))-IF(B110=0,0,0)-IF(B110&lt;=F123*8*B135,E123-ROUND(((E123/22)*(((G110-B110)/8*B135)+F123)),2),0),0)</f>
        <v>0</v>
      </c>
      <c r="K117" s="182">
        <f>G126-R117</f>
        <v>0</v>
      </c>
      <c r="L117" s="182">
        <f>IF(F128&gt;0,IF(F128&lt;190,F128,190),0)</f>
        <v>0</v>
      </c>
      <c r="M117" s="182"/>
      <c r="N117" s="183">
        <f>IF(N116&gt;0,L$3*B135*N116,0)</f>
        <v>0</v>
      </c>
      <c r="O117" s="184">
        <f>IF(C135&lt;=$P$2,IF(G128&gt;0,IF(G128&lt;500,G128,500),0),0)</f>
        <v>0</v>
      </c>
      <c r="P117" s="181">
        <f>IF(G123&gt;0,ROUND(((G123/G110)*B110),2),0)+G122</f>
        <v>0</v>
      </c>
      <c r="Q117" s="182">
        <f>IF(F121&gt;0,ROUND((F121/G110)*B110,2),0)</f>
        <v>0</v>
      </c>
      <c r="R117" s="182">
        <f>IF(G126&gt;0,IF(G126&lt;380,G126,380),0)</f>
        <v>0</v>
      </c>
      <c r="S117" s="185"/>
      <c r="T117" s="627"/>
      <c r="U117" s="628"/>
    </row>
    <row r="118" spans="1:21" ht="60" customHeight="1" thickBot="1" thickTop="1">
      <c r="A118" s="568"/>
      <c r="B118" s="137"/>
      <c r="C118" s="137"/>
      <c r="D118" s="137"/>
      <c r="E118" s="137"/>
      <c r="F118" s="137"/>
      <c r="G118" s="139">
        <f>IF(L106+L119-Q117-P117-K127-J117&gt;$F$1,IF(G117&gt;0,IF(((H127-S128-L133-L127-J117-K117-L117-O130+P135)*(100%-G117))&gt;=(($F$1*B135)-IF(ROUND(((ROUND(($F$1-C135),0.1)*E135)-D135),0.1)&gt;0,ROUND(((ROUND(($F$1-C135),0.1)*E135)-D135),0.1),0)),((H127-S128-L133-L127-J117-K117-L117-O130+P135)*G117)))+IF(G117&gt;0,IF(((H127-S128-L133-L127-J117-K117-L117-O130+P135)*(100%-G117))&lt;(($F$1*B135)-IF(ROUND(((ROUND(($F$1-C135),0.1)*E135)-D135),0.1)&gt;0,ROUND(((ROUND(($F$1-C135),0.1)*E135)-D135),0.1),0)),(H127-S128-L133-L127-J117-K117-L117-O130+P135)-(($F$1*B135)-IF(ROUND(((ROUND(($F$1-C135),0.1)*E135)-D135),0.1)&gt;0,ROUND(((ROUND(($F$1-C135),0.1)*E135)-D135),0.1),0)))),0)</f>
        <v>0</v>
      </c>
      <c r="H118" s="629" t="s">
        <v>135</v>
      </c>
      <c r="I118" s="630"/>
      <c r="J118" s="630"/>
      <c r="K118" s="575">
        <f>L119+P118</f>
        <v>0</v>
      </c>
      <c r="L118" s="576"/>
      <c r="M118" s="631" t="s">
        <v>136</v>
      </c>
      <c r="N118" s="632"/>
      <c r="O118" s="632"/>
      <c r="P118" s="575">
        <f>P119+S119</f>
        <v>0</v>
      </c>
      <c r="Q118" s="575"/>
      <c r="R118" s="186"/>
      <c r="S118" s="186"/>
      <c r="T118" s="187">
        <v>200</v>
      </c>
      <c r="U118" s="188">
        <f>ROUND(((1400/'[1]Li-pł zlec'!$V$1)*'[1]LI-PŁ-prac'!T118),2)+((H117+L119)-ROUND(((H117+L119)*$N$3),2))+O120+P120+P122+R122+S122-O127-L127-M127</f>
        <v>1750</v>
      </c>
    </row>
    <row r="119" spans="1:21" ht="119.25" customHeight="1">
      <c r="A119" s="568"/>
      <c r="B119" s="189" t="s">
        <v>137</v>
      </c>
      <c r="C119" s="190" t="s">
        <v>138</v>
      </c>
      <c r="D119" s="595" t="s">
        <v>139</v>
      </c>
      <c r="E119" s="649" t="s">
        <v>307</v>
      </c>
      <c r="F119" s="191" t="s">
        <v>140</v>
      </c>
      <c r="G119" s="192" t="s">
        <v>141</v>
      </c>
      <c r="H119" s="651" t="s">
        <v>142</v>
      </c>
      <c r="I119" s="652"/>
      <c r="J119" s="652"/>
      <c r="K119" s="652"/>
      <c r="L119" s="193">
        <f>SUM(H122:L122)</f>
        <v>0</v>
      </c>
      <c r="M119" s="625"/>
      <c r="N119" s="626"/>
      <c r="O119" s="626"/>
      <c r="P119" s="193"/>
      <c r="Q119" s="635"/>
      <c r="R119" s="636"/>
      <c r="S119" s="194"/>
      <c r="T119" s="637"/>
      <c r="U119" s="638"/>
    </row>
    <row r="120" spans="1:21" ht="141" customHeight="1" thickBot="1">
      <c r="A120" s="568"/>
      <c r="B120" s="195" t="s">
        <v>143</v>
      </c>
      <c r="C120" s="196"/>
      <c r="D120" s="554"/>
      <c r="E120" s="650"/>
      <c r="F120" s="197">
        <f>IF(F121&gt;0,1,0)</f>
        <v>0</v>
      </c>
      <c r="G120" s="155" t="s">
        <v>308</v>
      </c>
      <c r="H120" s="198" t="s">
        <v>144</v>
      </c>
      <c r="I120" s="199" t="s">
        <v>145</v>
      </c>
      <c r="J120" s="199" t="s">
        <v>146</v>
      </c>
      <c r="K120" s="199" t="s">
        <v>147</v>
      </c>
      <c r="L120" s="200" t="s">
        <v>148</v>
      </c>
      <c r="M120" s="201"/>
      <c r="N120" s="202"/>
      <c r="O120" s="203"/>
      <c r="P120" s="204"/>
      <c r="Q120" s="205"/>
      <c r="R120" s="206"/>
      <c r="S120" s="207"/>
      <c r="T120" s="637"/>
      <c r="U120" s="638"/>
    </row>
    <row r="121" spans="1:21" ht="51.75" customHeight="1">
      <c r="A121" s="568"/>
      <c r="B121" s="208"/>
      <c r="C121" s="595" t="s">
        <v>149</v>
      </c>
      <c r="D121" s="554"/>
      <c r="E121" s="209"/>
      <c r="F121" s="210">
        <f>IF(T107&gt;0,$H$3,0)</f>
        <v>0</v>
      </c>
      <c r="G121" s="211">
        <f>IF(G122+G123&gt;0,1,0)</f>
        <v>0</v>
      </c>
      <c r="H121" s="212">
        <f>IF(H122&gt;0,1,0)</f>
        <v>0</v>
      </c>
      <c r="I121" s="213">
        <f>IF(I122&gt;0,1,0)</f>
        <v>0</v>
      </c>
      <c r="J121" s="213">
        <f>IF(J122&gt;0,1,0)</f>
        <v>0</v>
      </c>
      <c r="K121" s="213">
        <f>IF(K122&gt;0,1,0)</f>
        <v>0</v>
      </c>
      <c r="L121" s="214">
        <f>IF(L122&gt;0,1,0)</f>
        <v>0</v>
      </c>
      <c r="M121" s="639" t="s">
        <v>150</v>
      </c>
      <c r="N121" s="640"/>
      <c r="O121" s="641"/>
      <c r="P121" s="642"/>
      <c r="Q121" s="215"/>
      <c r="R121" s="216"/>
      <c r="S121" s="217"/>
      <c r="T121" s="643"/>
      <c r="U121" s="644"/>
    </row>
    <row r="122" spans="1:21" ht="60.75" customHeight="1" thickBot="1">
      <c r="A122" s="568"/>
      <c r="B122" s="218" t="s">
        <v>151</v>
      </c>
      <c r="C122" s="554"/>
      <c r="D122" s="131"/>
      <c r="E122" s="219">
        <f>IF(E121&gt;0,C$3,0)</f>
        <v>0</v>
      </c>
      <c r="F122" s="220" t="s">
        <v>152</v>
      </c>
      <c r="G122" s="221"/>
      <c r="H122" s="179">
        <f>IF(G114&gt;0,(ROUND((C128*G113),2)*G114),0)+IF(B118&gt;0,(ROUND((C128*B117),2)*B118),0)+IF(F118&gt;0,(ROUND((C128*F117),2)*F118),0)</f>
        <v>0</v>
      </c>
      <c r="I122" s="182">
        <f>IF(E118&gt;0,(ROUND(((D128*D127)/30),2)*E118),0)</f>
        <v>0</v>
      </c>
      <c r="J122" s="182">
        <f>IF(C118&gt;0,(ROUND(C128*C117,2)*C118),0)</f>
        <v>0</v>
      </c>
      <c r="K122" s="182">
        <f>IF(D118&gt;0,(ROUND(C128,2)*D118),0)</f>
        <v>0</v>
      </c>
      <c r="L122" s="222">
        <f>E128</f>
        <v>0</v>
      </c>
      <c r="M122" s="645">
        <f>Q107+M112+L119</f>
        <v>0</v>
      </c>
      <c r="N122" s="646"/>
      <c r="O122" s="202"/>
      <c r="P122" s="223"/>
      <c r="Q122" s="224"/>
      <c r="R122" s="182"/>
      <c r="S122" s="185"/>
      <c r="T122" s="695" t="s">
        <v>153</v>
      </c>
      <c r="U122" s="696"/>
    </row>
    <row r="123" spans="1:21" ht="41.25" customHeight="1" thickTop="1">
      <c r="A123" s="568"/>
      <c r="B123" s="208"/>
      <c r="C123" s="208"/>
      <c r="D123" s="208"/>
      <c r="E123" s="203">
        <f>ROUND((E121*E122),2)</f>
        <v>0</v>
      </c>
      <c r="F123" s="225"/>
      <c r="G123" s="226"/>
      <c r="H123" s="653" t="s">
        <v>309</v>
      </c>
      <c r="I123" s="655" t="s">
        <v>154</v>
      </c>
      <c r="J123" s="657" t="s">
        <v>155</v>
      </c>
      <c r="K123" s="660" t="s">
        <v>156</v>
      </c>
      <c r="L123" s="661" t="s">
        <v>157</v>
      </c>
      <c r="M123" s="661"/>
      <c r="N123" s="661"/>
      <c r="O123" s="662"/>
      <c r="P123" s="663" t="s">
        <v>158</v>
      </c>
      <c r="Q123" s="227" t="s">
        <v>159</v>
      </c>
      <c r="R123" s="228" t="s">
        <v>160</v>
      </c>
      <c r="S123" s="229" t="s">
        <v>161</v>
      </c>
      <c r="T123" s="695" t="s">
        <v>162</v>
      </c>
      <c r="U123" s="696"/>
    </row>
    <row r="124" spans="1:21" ht="92.25" customHeight="1">
      <c r="A124" s="568"/>
      <c r="B124" s="664" t="s">
        <v>163</v>
      </c>
      <c r="C124" s="117" t="s">
        <v>164</v>
      </c>
      <c r="D124" s="337" t="s">
        <v>165</v>
      </c>
      <c r="E124" s="146" t="s">
        <v>166</v>
      </c>
      <c r="F124" s="697" t="s">
        <v>167</v>
      </c>
      <c r="G124" s="191" t="s">
        <v>168</v>
      </c>
      <c r="H124" s="654"/>
      <c r="I124" s="656"/>
      <c r="J124" s="658"/>
      <c r="K124" s="584"/>
      <c r="L124" s="232" t="s">
        <v>169</v>
      </c>
      <c r="M124" s="123" t="s">
        <v>170</v>
      </c>
      <c r="N124" s="136" t="s">
        <v>171</v>
      </c>
      <c r="O124" s="136" t="s">
        <v>172</v>
      </c>
      <c r="P124" s="556"/>
      <c r="Q124" s="233">
        <f>ROUND(IF(S129&gt;$N$4,IF(S129&lt;=$O$4,7866.25+((S129-$N$4)*$O$3)),0)+IF(S129&gt;$O$4,20177.65+((S129-$O$4)*$P$3),0)+IF(S129&lt;=$N$4,IF(S129*E135&gt;0,S129*E135),0),0.1)</f>
        <v>0</v>
      </c>
      <c r="R124" s="234">
        <f>IF(L119&gt;0,ROUND((ROUND((L119),0.1)*E135),0.1),0)</f>
        <v>0</v>
      </c>
      <c r="S124" s="235">
        <f>IF(Q124+R124-D135&gt;=0,Q124+R124-D135,0)+IF(D135-Q124+R124&gt;0&lt;D135+0.001,Q124+R124-D135,0)</f>
        <v>0</v>
      </c>
      <c r="T124" s="695" t="s">
        <v>173</v>
      </c>
      <c r="U124" s="696"/>
    </row>
    <row r="125" spans="1:21" ht="54.75" customHeight="1">
      <c r="A125" s="568"/>
      <c r="B125" s="665"/>
      <c r="C125" s="230"/>
      <c r="D125" s="236"/>
      <c r="E125" s="237"/>
      <c r="F125" s="698"/>
      <c r="G125" s="239" t="s">
        <v>310</v>
      </c>
      <c r="H125" s="654"/>
      <c r="I125" s="656"/>
      <c r="J125" s="658"/>
      <c r="K125" s="584"/>
      <c r="L125" s="123"/>
      <c r="M125" s="240"/>
      <c r="N125" s="241"/>
      <c r="O125" s="136"/>
      <c r="P125" s="556"/>
      <c r="Q125" s="668" t="s">
        <v>174</v>
      </c>
      <c r="R125" s="669"/>
      <c r="S125" s="235">
        <f>ROUND(IF(S124&gt;=L135,S124-L135,0),0.1)</f>
        <v>0</v>
      </c>
      <c r="T125" s="338" t="str">
        <f>L$8</f>
        <v>styczeń</v>
      </c>
      <c r="U125" s="339" t="str">
        <f>N$8</f>
        <v>2011 r.</v>
      </c>
    </row>
    <row r="126" spans="1:21" ht="48" customHeight="1">
      <c r="A126" s="568"/>
      <c r="B126" s="244">
        <f>IF(B127=0,IF(T107&gt;0,IF(T112&gt;0,IF(T112="I kl",O$1)+IF(T112="II kl",P$1)+IF(T112="III kl",Q$1),ROUND((E$1*B135),2)),0),0)</f>
        <v>0</v>
      </c>
      <c r="C126" s="118" t="s">
        <v>175</v>
      </c>
      <c r="D126" s="123" t="s">
        <v>176</v>
      </c>
      <c r="E126" s="245"/>
      <c r="F126" s="698"/>
      <c r="G126" s="139"/>
      <c r="H126" s="246">
        <f>IF(H127&gt;0,1,0)</f>
        <v>0</v>
      </c>
      <c r="I126" s="247">
        <f>IF(I127&gt;0,1,0)</f>
        <v>0</v>
      </c>
      <c r="J126" s="658"/>
      <c r="K126" s="248">
        <f aca="true" t="shared" si="11" ref="K126:P126">IF(K127&gt;0,1,0)</f>
        <v>0</v>
      </c>
      <c r="L126" s="249">
        <f t="shared" si="11"/>
        <v>0</v>
      </c>
      <c r="M126" s="250">
        <f t="shared" si="11"/>
        <v>0</v>
      </c>
      <c r="N126" s="249">
        <f t="shared" si="11"/>
        <v>0</v>
      </c>
      <c r="O126" s="251">
        <f t="shared" si="11"/>
        <v>0</v>
      </c>
      <c r="P126" s="252">
        <f t="shared" si="11"/>
        <v>0</v>
      </c>
      <c r="Q126" s="670" t="s">
        <v>177</v>
      </c>
      <c r="R126" s="253" t="s">
        <v>178</v>
      </c>
      <c r="S126" s="235">
        <v>0</v>
      </c>
      <c r="T126" s="647" t="s">
        <v>179</v>
      </c>
      <c r="U126" s="648"/>
    </row>
    <row r="127" spans="1:21" ht="57.75" customHeight="1" thickBot="1">
      <c r="A127" s="568"/>
      <c r="B127" s="254"/>
      <c r="C127" s="230"/>
      <c r="D127" s="177">
        <v>0.9</v>
      </c>
      <c r="E127" s="255">
        <f>IF(E125&gt;0,$U$1-E126,0)</f>
        <v>0</v>
      </c>
      <c r="F127" s="238">
        <f>IF(F128&gt;0,1,0)</f>
        <v>0</v>
      </c>
      <c r="G127" s="256" t="s">
        <v>180</v>
      </c>
      <c r="H127" s="257">
        <f>P106+L119-P135</f>
        <v>0</v>
      </c>
      <c r="I127" s="233">
        <f>L106+K118</f>
        <v>0</v>
      </c>
      <c r="J127" s="659"/>
      <c r="K127" s="244">
        <f>S111+K117+L117+O117+R117+O130+L133-N127</f>
        <v>0</v>
      </c>
      <c r="L127" s="244"/>
      <c r="M127" s="244">
        <f>G116+IF(G118&gt;0,G118,0)</f>
        <v>0</v>
      </c>
      <c r="N127" s="244">
        <f>L133-L135</f>
        <v>0</v>
      </c>
      <c r="O127" s="244"/>
      <c r="P127" s="258">
        <f>SUM(K127:O127)</f>
        <v>0</v>
      </c>
      <c r="Q127" s="671"/>
      <c r="R127" s="259" t="s">
        <v>181</v>
      </c>
      <c r="S127" s="235">
        <v>0</v>
      </c>
      <c r="T127" s="647" t="s">
        <v>182</v>
      </c>
      <c r="U127" s="648"/>
    </row>
    <row r="128" spans="1:21" ht="45.75" customHeight="1" thickBot="1" thickTop="1">
      <c r="A128" s="569"/>
      <c r="B128" s="244">
        <f>IF(B127=0,ROUND(IF(B126&gt;0,CEILING((B126/G110),0.01),B127),2),B127)</f>
        <v>0</v>
      </c>
      <c r="C128" s="244">
        <f>IF(T107&gt;0,(IF(C125&gt;0,ROUND(((C125-(C125*(B131+C131+D131)))/30),2),0)+IF(C127&gt;0,ROUND((C127/30),2),0))+(IF(IF(C125&gt;0,ROUND(((C125-(C125*(B131+C131+D131)))/30),2),0)+IF(C127&gt;0,ROUND((C127/30),2),0)&lt;ROUND((($F$1*B135)/30),2),(IF(C125+C127&gt;0,ROUND((($F$1*B135)/30),2)-(IF(C125&gt;0,ROUND(((C125-(C125*(B131+C131+D131)))/30),2),0)+IF(C127&gt;0,ROUND((C127/30),2),0)))),0)),0)</f>
        <v>0</v>
      </c>
      <c r="D128" s="244"/>
      <c r="E128" s="244">
        <f>IF(E127&gt;0,IF(ROUND(E125-((E125/30)*E126),2)-H130+O130&gt;0,ROUND(E125-((E125/30)*E126),2)-H130+O130,0),0)</f>
        <v>0</v>
      </c>
      <c r="F128" s="137"/>
      <c r="G128" s="139"/>
      <c r="H128" s="672" t="s">
        <v>183</v>
      </c>
      <c r="I128" s="673"/>
      <c r="J128" s="673"/>
      <c r="K128" s="673"/>
      <c r="L128" s="673"/>
      <c r="M128" s="674" t="s">
        <v>184</v>
      </c>
      <c r="N128" s="675"/>
      <c r="O128" s="260" t="s">
        <v>185</v>
      </c>
      <c r="P128" s="261" t="s">
        <v>186</v>
      </c>
      <c r="Q128" s="676" t="s">
        <v>187</v>
      </c>
      <c r="R128" s="677"/>
      <c r="S128" s="262">
        <f>ROUND((IF(S125-S126&gt;=0,S125-S126,0)+S127),0.1)</f>
        <v>0</v>
      </c>
      <c r="T128" s="263" t="str">
        <f>L$8</f>
        <v>styczeń</v>
      </c>
      <c r="U128" s="264" t="str">
        <f>N$8</f>
        <v>2011 r.</v>
      </c>
    </row>
    <row r="129" spans="1:21" ht="69.75" customHeight="1" thickBot="1" thickTop="1">
      <c r="A129" s="568"/>
      <c r="B129" s="699" t="s">
        <v>188</v>
      </c>
      <c r="C129" s="700"/>
      <c r="D129" s="700"/>
      <c r="E129" s="701"/>
      <c r="F129" s="265" t="s">
        <v>189</v>
      </c>
      <c r="G129" s="266" t="s">
        <v>190</v>
      </c>
      <c r="H129" s="267" t="s">
        <v>191</v>
      </c>
      <c r="I129" s="268" t="s">
        <v>192</v>
      </c>
      <c r="J129" s="269" t="s">
        <v>193</v>
      </c>
      <c r="K129" s="238" t="s">
        <v>194</v>
      </c>
      <c r="L129" s="270" t="s">
        <v>195</v>
      </c>
      <c r="M129" s="198" t="s">
        <v>196</v>
      </c>
      <c r="N129" s="271" t="s">
        <v>197</v>
      </c>
      <c r="O129" s="294" t="s">
        <v>198</v>
      </c>
      <c r="P129" s="273" t="s">
        <v>199</v>
      </c>
      <c r="Q129" s="340" t="s">
        <v>200</v>
      </c>
      <c r="R129" s="275" t="s">
        <v>201</v>
      </c>
      <c r="S129" s="276">
        <f>IF(ROUND((P106-P135-C135),0.1)&gt;0,ROUND((P106-P135-C135),0.1),0)</f>
        <v>0</v>
      </c>
      <c r="T129" s="277"/>
      <c r="U129" s="278"/>
    </row>
    <row r="130" spans="1:21" ht="81" customHeight="1" thickTop="1">
      <c r="A130" s="568"/>
      <c r="B130" s="279" t="s">
        <v>202</v>
      </c>
      <c r="C130" s="279" t="s">
        <v>203</v>
      </c>
      <c r="D130" s="279" t="s">
        <v>204</v>
      </c>
      <c r="E130" s="279" t="s">
        <v>205</v>
      </c>
      <c r="F130" s="279" t="s">
        <v>206</v>
      </c>
      <c r="G130" s="280">
        <f>ROUND((H130*G132),2)</f>
        <v>0</v>
      </c>
      <c r="H130" s="281">
        <f>Q107+O117</f>
        <v>0</v>
      </c>
      <c r="I130" s="282">
        <f>Q107+O117</f>
        <v>0</v>
      </c>
      <c r="J130" s="282">
        <f>Q107+O117</f>
        <v>0</v>
      </c>
      <c r="K130" s="282">
        <f>Q107+O117</f>
        <v>0</v>
      </c>
      <c r="L130" s="283">
        <f>Q107+H117+I117-O130+O117</f>
        <v>0</v>
      </c>
      <c r="M130" s="284">
        <f>IF(D125&gt;0,IF(D125&lt;$U$1,ROUND((($E$1/$U$1)*D125),2),$E$1))+IF(K122&gt;0,K122,0)</f>
        <v>0</v>
      </c>
      <c r="N130" s="285">
        <f>M130</f>
        <v>0</v>
      </c>
      <c r="O130" s="286">
        <f>SUM(H133:J133)</f>
        <v>0</v>
      </c>
      <c r="P130" s="287">
        <f>IF(P131&gt;0,1,0)</f>
        <v>0</v>
      </c>
      <c r="Q130" s="288">
        <f>ROUND((H130-O117-P135+H117+I117)*$R$3,2)</f>
        <v>0</v>
      </c>
      <c r="R130" s="681" t="s">
        <v>207</v>
      </c>
      <c r="S130" s="683" t="s">
        <v>311</v>
      </c>
      <c r="T130" s="289"/>
      <c r="U130" s="278"/>
    </row>
    <row r="131" spans="1:21" ht="38.25" customHeight="1">
      <c r="A131" s="568"/>
      <c r="B131" s="158">
        <f>IF(H130&gt;0,B$2,0)</f>
        <v>0</v>
      </c>
      <c r="C131" s="158">
        <f>IF(I130&gt;0,H$4,0)</f>
        <v>0</v>
      </c>
      <c r="D131" s="158">
        <f>IF(J130&gt;0,F$2,0)</f>
        <v>0</v>
      </c>
      <c r="E131" s="158" t="s">
        <v>208</v>
      </c>
      <c r="F131" s="290" t="s">
        <v>209</v>
      </c>
      <c r="G131" s="291">
        <v>0</v>
      </c>
      <c r="H131" s="685" t="s">
        <v>210</v>
      </c>
      <c r="I131" s="686"/>
      <c r="J131" s="686"/>
      <c r="K131" s="686"/>
      <c r="L131" s="686"/>
      <c r="M131" s="292" t="s">
        <v>211</v>
      </c>
      <c r="N131" s="293" t="s">
        <v>212</v>
      </c>
      <c r="O131" s="294" t="s">
        <v>213</v>
      </c>
      <c r="P131" s="52">
        <f>IF(I130&lt;$E$1,IF(B135=1,IF(T112=0,ROUND((I130*$L$2),2),0),0),ROUND((I130*$L$2),2))</f>
        <v>0</v>
      </c>
      <c r="Q131" s="295" t="s">
        <v>214</v>
      </c>
      <c r="R131" s="682"/>
      <c r="S131" s="684"/>
      <c r="T131" s="289"/>
      <c r="U131" s="278"/>
    </row>
    <row r="132" spans="1:21" ht="42.75" customHeight="1" thickBot="1">
      <c r="A132" s="568"/>
      <c r="B132" s="158">
        <f>IF(H130&gt;0,B$2,0)</f>
        <v>0</v>
      </c>
      <c r="C132" s="158">
        <f>IF(I130&gt;0,D$2,0)</f>
        <v>0</v>
      </c>
      <c r="D132" s="158" t="s">
        <v>208</v>
      </c>
      <c r="E132" s="158">
        <f>IF(K130&gt;0,H$2,0)</f>
        <v>0</v>
      </c>
      <c r="F132" s="158">
        <f>IF(L130&gt;0,J$2,0)</f>
        <v>0</v>
      </c>
      <c r="G132" s="158">
        <f>IF(G131&gt;0,L$1,0)</f>
        <v>0</v>
      </c>
      <c r="H132" s="296" t="s">
        <v>215</v>
      </c>
      <c r="I132" s="297" t="s">
        <v>215</v>
      </c>
      <c r="J132" s="297" t="s">
        <v>215</v>
      </c>
      <c r="K132" s="298" t="s">
        <v>209</v>
      </c>
      <c r="L132" s="299" t="s">
        <v>215</v>
      </c>
      <c r="M132" s="300">
        <f>ROUND(M130*(B$2+B$2),2)</f>
        <v>0</v>
      </c>
      <c r="N132" s="301">
        <f>ROUND(N130*(D$2+H$4),2)</f>
        <v>0</v>
      </c>
      <c r="O132" s="302">
        <f>H135+I135+K135+G130</f>
        <v>0</v>
      </c>
      <c r="P132" s="303" t="s">
        <v>216</v>
      </c>
      <c r="Q132" s="304">
        <f>ROUND((L130*J$2),2)</f>
        <v>0</v>
      </c>
      <c r="R132" s="305" t="s">
        <v>217</v>
      </c>
      <c r="S132" s="684"/>
      <c r="T132" s="289"/>
      <c r="U132" s="278"/>
    </row>
    <row r="133" spans="1:21" ht="53.25" customHeight="1" thickBot="1" thickTop="1">
      <c r="A133" s="568"/>
      <c r="B133" s="141">
        <f>IF(B131+B132&gt;0,1,0)</f>
        <v>0</v>
      </c>
      <c r="C133" s="141">
        <f>IF(C131+C132&gt;0,1,0)</f>
        <v>0</v>
      </c>
      <c r="D133" s="141">
        <f>IF(D131&gt;0,1,0)</f>
        <v>0</v>
      </c>
      <c r="E133" s="141">
        <f>IF(E132&gt;0,1,0)</f>
        <v>0</v>
      </c>
      <c r="F133" s="141">
        <f>IF(F132&gt;0,1,0)</f>
        <v>0</v>
      </c>
      <c r="G133" s="141">
        <f>IF(G132&gt;0,1,0)</f>
        <v>0</v>
      </c>
      <c r="H133" s="306">
        <f>ROUND(H130*B131,2)</f>
        <v>0</v>
      </c>
      <c r="I133" s="307">
        <f>ROUND(I130*C131,2)</f>
        <v>0</v>
      </c>
      <c r="J133" s="307">
        <f>ROUND(J130*D131,2)</f>
        <v>0</v>
      </c>
      <c r="K133" s="244" t="s">
        <v>209</v>
      </c>
      <c r="L133" s="307">
        <f>IF(S124&gt;=ROUND(L130*F132,2),ROUND(L130*F132,2),S124)</f>
        <v>0</v>
      </c>
      <c r="M133" s="687" t="s">
        <v>218</v>
      </c>
      <c r="N133" s="688"/>
      <c r="O133" s="689" t="s">
        <v>219</v>
      </c>
      <c r="P133" s="308">
        <f>IF(P134&gt;0,1,0)</f>
        <v>0</v>
      </c>
      <c r="Q133" s="309" t="s">
        <v>220</v>
      </c>
      <c r="R133" s="310">
        <f>IF(B110=G110,H111+I111+J111+L111+O111+R111+IF(K111&gt;0,ROUND((K111/K109),2),0),0)+IF(B110&lt;G110,IF(B110&gt;0,ROUND((((H111+J111)/B110)*(G110-B123)),2)+IF(K111&gt;0,ROUND((K111/K109),2),0)+I111+L111+O111+R111,0),0)</f>
        <v>0</v>
      </c>
      <c r="S133" s="235">
        <f>IF(S125-S126&lt;0,S126-S125,0)</f>
        <v>0</v>
      </c>
      <c r="T133" s="289"/>
      <c r="U133" s="278"/>
    </row>
    <row r="134" spans="1:22" ht="63" customHeight="1" thickBot="1" thickTop="1">
      <c r="A134" s="568"/>
      <c r="B134" s="311" t="s">
        <v>221</v>
      </c>
      <c r="C134" s="311" t="s">
        <v>222</v>
      </c>
      <c r="D134" s="311" t="s">
        <v>34</v>
      </c>
      <c r="E134" s="146" t="s">
        <v>223</v>
      </c>
      <c r="F134" s="312" t="s">
        <v>224</v>
      </c>
      <c r="G134" s="139">
        <f>IF(Q130&gt;Q124,Q130-Q124,0)</f>
        <v>0</v>
      </c>
      <c r="H134" s="313" t="s">
        <v>225</v>
      </c>
      <c r="I134" s="314" t="s">
        <v>225</v>
      </c>
      <c r="J134" s="298" t="s">
        <v>209</v>
      </c>
      <c r="K134" s="315" t="s">
        <v>225</v>
      </c>
      <c r="L134" s="316" t="s">
        <v>226</v>
      </c>
      <c r="M134" s="317" t="s">
        <v>227</v>
      </c>
      <c r="N134" s="318" t="s">
        <v>228</v>
      </c>
      <c r="O134" s="690"/>
      <c r="P134" s="319">
        <f>ROUND(N$2*H130,2)</f>
        <v>0</v>
      </c>
      <c r="Q134" s="320">
        <f>IF(D125&gt;0,$U$2,0)</f>
        <v>0</v>
      </c>
      <c r="R134" s="321" t="s">
        <v>229</v>
      </c>
      <c r="S134" s="322" t="s">
        <v>230</v>
      </c>
      <c r="T134" s="691" t="s">
        <v>231</v>
      </c>
      <c r="U134" s="702"/>
      <c r="V134" s="323">
        <f>IF(ISBLANK(AM106),0,IF(IF(AF121&gt;=AI$2,AI$2,AF121)&gt;0,IF(AF121&gt;=AI$2,AI$2,AF121),0))</f>
        <v>0</v>
      </c>
    </row>
    <row r="135" spans="1:22" ht="42" customHeight="1" thickBot="1" thickTop="1">
      <c r="A135" s="570"/>
      <c r="B135" s="324">
        <f>IF(ISBLANK(T107),0,1)</f>
        <v>0</v>
      </c>
      <c r="C135" s="324">
        <f>IF(ISBLANK(T107),0,IF(IF(M122&gt;=P$2,P$2,M122)&gt;0,IF(M122&gt;=P$2,P$2,M122),0))</f>
        <v>0</v>
      </c>
      <c r="D135" s="324">
        <f>IF(ISBLANK(T107),0,S$1)</f>
        <v>0</v>
      </c>
      <c r="E135" s="325">
        <f>IF(G110&gt;0,$N$3,0)</f>
        <v>0</v>
      </c>
      <c r="F135" s="326">
        <f>O130+O132+P131+P134+L133+S128</f>
        <v>0</v>
      </c>
      <c r="G135" s="327">
        <f>IF(G134&gt;0,1,0)</f>
        <v>0</v>
      </c>
      <c r="H135" s="328">
        <f>ROUND(H130*B131,2)</f>
        <v>0</v>
      </c>
      <c r="I135" s="329">
        <f>ROUND(I130*C132,2)</f>
        <v>0</v>
      </c>
      <c r="J135" s="182" t="s">
        <v>209</v>
      </c>
      <c r="K135" s="330">
        <f>ROUND(K130*E132,2)</f>
        <v>0</v>
      </c>
      <c r="L135" s="185">
        <f>IF(S124&gt;=ROUND((H130-O117-P135+H117+I117)*$R$3,2),ROUND((H130-O117-P135+H117+I117)*$R$3,2),S124)</f>
        <v>0</v>
      </c>
      <c r="M135" s="179">
        <f>O130+O132</f>
        <v>0</v>
      </c>
      <c r="N135" s="331">
        <f>M135+L133</f>
        <v>0</v>
      </c>
      <c r="O135" s="332">
        <f>SUM(M132:N132)</f>
        <v>0</v>
      </c>
      <c r="P135" s="333">
        <f>ROUND(Q107*B131,2)+ROUND(Q107*C131,2)+ROUND(Q107*D131,2)</f>
        <v>0</v>
      </c>
      <c r="Q135" s="334">
        <f>IF(D125&gt;0,ROUND(($U$2*J$2),2),0)</f>
        <v>0</v>
      </c>
      <c r="R135" s="335">
        <f>IF(B110&gt;=G110/2,IF(B110=G110,H111+I111+J111+L111+O111+P111+R111+IF(K111&gt;0,ROUND((K111/K109),2),0),ROUND((((H111+J111+L111)/B110)*(G110-B123)),2)+IF(K111&gt;0,ROUND((K111/K109),2),0)+I111+O111+P111+R111),0)</f>
        <v>0</v>
      </c>
      <c r="S135" s="336">
        <f>IF(P106-O130-S128-L133&gt;0,P106-O130-S128-L133,0)</f>
        <v>0</v>
      </c>
      <c r="T135" s="693" t="s">
        <v>232</v>
      </c>
      <c r="U135" s="703"/>
      <c r="V135" s="323">
        <f>IF(ISBLANK(AM107),0,IF(IF(AF122&gt;=AJ$2,AJ$2,AF122)&gt;0,IF(AF122&gt;=AJ$2,AJ$2,AF122),0))</f>
        <v>0</v>
      </c>
    </row>
    <row r="136" ht="24" customHeight="1" thickTop="1"/>
    <row r="137" spans="1:23" ht="33" customHeight="1" thickBot="1">
      <c r="A137" s="111" t="s">
        <v>72</v>
      </c>
      <c r="B137" s="112" t="s">
        <v>73</v>
      </c>
      <c r="C137" s="113"/>
      <c r="D137" s="113"/>
      <c r="E137" s="114"/>
      <c r="F137" s="553" t="s">
        <v>74</v>
      </c>
      <c r="G137" s="555" t="s">
        <v>75</v>
      </c>
      <c r="H137" s="557" t="s">
        <v>76</v>
      </c>
      <c r="I137" s="557"/>
      <c r="J137" s="558"/>
      <c r="K137" s="559"/>
      <c r="L137" s="560"/>
      <c r="M137" s="560"/>
      <c r="N137" s="560"/>
      <c r="O137" s="561"/>
      <c r="P137" s="559"/>
      <c r="Q137" s="560"/>
      <c r="R137" s="560"/>
      <c r="S137" s="560"/>
      <c r="T137" s="565" t="s">
        <v>77</v>
      </c>
      <c r="U137" s="566"/>
      <c r="V137" s="102"/>
      <c r="W137" s="115"/>
    </row>
    <row r="138" spans="1:23" ht="44.25" customHeight="1" thickBot="1" thickTop="1">
      <c r="A138" s="567">
        <f>A106+1</f>
        <v>5</v>
      </c>
      <c r="B138" s="571" t="s">
        <v>79</v>
      </c>
      <c r="C138" s="571" t="s">
        <v>80</v>
      </c>
      <c r="D138" s="573" t="s">
        <v>81</v>
      </c>
      <c r="E138" s="573"/>
      <c r="F138" s="554"/>
      <c r="G138" s="556"/>
      <c r="H138" s="574" t="s">
        <v>82</v>
      </c>
      <c r="I138" s="574"/>
      <c r="J138" s="574"/>
      <c r="K138" s="574"/>
      <c r="L138" s="575">
        <f>P138+S144</f>
        <v>0</v>
      </c>
      <c r="M138" s="576"/>
      <c r="N138" s="577" t="s">
        <v>83</v>
      </c>
      <c r="O138" s="578"/>
      <c r="P138" s="575">
        <f>Q139+M144</f>
        <v>0</v>
      </c>
      <c r="Q138" s="576"/>
      <c r="R138" s="119"/>
      <c r="S138" s="120"/>
      <c r="T138" s="121"/>
      <c r="U138" s="122"/>
      <c r="V138" s="102"/>
      <c r="W138" s="115"/>
    </row>
    <row r="139" spans="1:23" ht="36.75" customHeight="1">
      <c r="A139" s="568"/>
      <c r="B139" s="572"/>
      <c r="C139" s="572"/>
      <c r="D139" s="124" t="s">
        <v>85</v>
      </c>
      <c r="E139" s="124" t="s">
        <v>86</v>
      </c>
      <c r="F139" s="554"/>
      <c r="G139" s="556"/>
      <c r="H139" s="562" t="s">
        <v>87</v>
      </c>
      <c r="I139" s="563"/>
      <c r="J139" s="563"/>
      <c r="K139" s="563"/>
      <c r="L139" s="563"/>
      <c r="M139" s="563"/>
      <c r="N139" s="563"/>
      <c r="O139" s="563"/>
      <c r="P139" s="564"/>
      <c r="Q139" s="579">
        <f>SUM(H143:S143)</f>
        <v>0</v>
      </c>
      <c r="R139" s="580"/>
      <c r="S139" s="125"/>
      <c r="T139" s="581"/>
      <c r="U139" s="582"/>
      <c r="V139" s="102"/>
      <c r="W139" s="115"/>
    </row>
    <row r="140" spans="1:23" ht="38.25" customHeight="1">
      <c r="A140" s="568"/>
      <c r="B140" s="572"/>
      <c r="C140" s="126"/>
      <c r="D140" s="124" t="s">
        <v>89</v>
      </c>
      <c r="E140" s="124" t="s">
        <v>89</v>
      </c>
      <c r="F140" s="554"/>
      <c r="G140" s="127"/>
      <c r="H140" s="128" t="s">
        <v>90</v>
      </c>
      <c r="I140" s="129" t="s">
        <v>91</v>
      </c>
      <c r="J140" s="129" t="s">
        <v>92</v>
      </c>
      <c r="K140" s="130" t="s">
        <v>93</v>
      </c>
      <c r="L140" s="583" t="s">
        <v>94</v>
      </c>
      <c r="M140" s="583" t="s">
        <v>95</v>
      </c>
      <c r="N140" s="583" t="s">
        <v>96</v>
      </c>
      <c r="O140" s="585" t="s">
        <v>97</v>
      </c>
      <c r="P140" s="583" t="s">
        <v>98</v>
      </c>
      <c r="Q140" s="587" t="s">
        <v>99</v>
      </c>
      <c r="R140" s="589" t="s">
        <v>100</v>
      </c>
      <c r="S140" s="591" t="s">
        <v>101</v>
      </c>
      <c r="T140" s="581"/>
      <c r="U140" s="582"/>
      <c r="V140" s="102"/>
      <c r="W140" s="115"/>
    </row>
    <row r="141" spans="1:23" ht="30" customHeight="1">
      <c r="A141" s="568"/>
      <c r="B141" s="572"/>
      <c r="C141" s="131"/>
      <c r="D141" s="131"/>
      <c r="E141" s="131"/>
      <c r="F141" s="554"/>
      <c r="G141" s="127"/>
      <c r="H141" s="132" t="s">
        <v>103</v>
      </c>
      <c r="I141" s="133" t="s">
        <v>104</v>
      </c>
      <c r="J141" s="134">
        <v>0</v>
      </c>
      <c r="K141" s="135">
        <v>1</v>
      </c>
      <c r="L141" s="584"/>
      <c r="M141" s="584"/>
      <c r="N141" s="584"/>
      <c r="O141" s="586"/>
      <c r="P141" s="584"/>
      <c r="Q141" s="588"/>
      <c r="R141" s="590"/>
      <c r="S141" s="592"/>
      <c r="T141" s="581"/>
      <c r="U141" s="582"/>
      <c r="V141" s="102"/>
      <c r="W141" s="115"/>
    </row>
    <row r="142" spans="1:21" ht="51" customHeight="1">
      <c r="A142" s="568"/>
      <c r="B142" s="137">
        <f>G142</f>
        <v>0</v>
      </c>
      <c r="C142" s="137"/>
      <c r="D142" s="137"/>
      <c r="E142" s="138"/>
      <c r="F142" s="138"/>
      <c r="G142" s="139">
        <f>B$1*B167</f>
        <v>0</v>
      </c>
      <c r="H142" s="140">
        <f aca="true" t="shared" si="12" ref="H142:S142">IF(H143&gt;0,1,0)</f>
        <v>0</v>
      </c>
      <c r="I142" s="141">
        <f t="shared" si="12"/>
        <v>0</v>
      </c>
      <c r="J142" s="141">
        <f t="shared" si="12"/>
        <v>0</v>
      </c>
      <c r="K142" s="142">
        <f t="shared" si="12"/>
        <v>0</v>
      </c>
      <c r="L142" s="142">
        <f t="shared" si="12"/>
        <v>0</v>
      </c>
      <c r="M142" s="142">
        <f t="shared" si="12"/>
        <v>0</v>
      </c>
      <c r="N142" s="142">
        <f t="shared" si="12"/>
        <v>0</v>
      </c>
      <c r="O142" s="141">
        <f t="shared" si="12"/>
        <v>0</v>
      </c>
      <c r="P142" s="142">
        <f t="shared" si="12"/>
        <v>0</v>
      </c>
      <c r="Q142" s="142">
        <f t="shared" si="12"/>
        <v>0</v>
      </c>
      <c r="R142" s="143">
        <f t="shared" si="12"/>
        <v>0</v>
      </c>
      <c r="S142" s="144">
        <f t="shared" si="12"/>
        <v>0</v>
      </c>
      <c r="T142" s="593"/>
      <c r="U142" s="594"/>
    </row>
    <row r="143" spans="1:22" ht="49.5" customHeight="1" thickBot="1">
      <c r="A143" s="568"/>
      <c r="B143" s="595" t="s">
        <v>106</v>
      </c>
      <c r="C143" s="595" t="s">
        <v>107</v>
      </c>
      <c r="D143" s="596" t="s">
        <v>108</v>
      </c>
      <c r="E143" s="148" t="s">
        <v>109</v>
      </c>
      <c r="F143" s="149"/>
      <c r="G143" s="597" t="s">
        <v>110</v>
      </c>
      <c r="H143" s="150">
        <f>IF(B142+B146+B153+B155+C152+D146+F143&gt;0,IF(B158&gt;0,B158-(IF(E146+F146+G146+B150+C150+D150+E150+F150&gt;0,ROUND((B158/30)*IF(E146+F146+G146+B150+C150+D150+E150+F150&lt;31,E146+F146+G146+B150+C150+D150+E150+F150,30),2),0)+ROUND(((B158/G142)*(B146+B153+B155+C152+D146)),2)),0),0)+IF(B142&gt;G142,IF(B158&gt;0,(B142-G142)*B160,0),0)+IF(B159&gt;0,B159*B142,0)-IF(IF(B142+B146+B153+B155+C152+D146+F143&gt;0,IF(B158&gt;0,B158-(IF(E146+F146+G146+B150+C150+D150+E150+F150&gt;0,ROUND((B158/30)*IF(E146+F146+G146+B150+C150+D150+E150+F150&lt;31,E146+F146+G146+B150+C150+D150+E150+F150,30),2),0)+ROUND(((B158/G142)*(B146+B153+B155+C152+D146)),2)),0),0)&lt;0,IF(B142+B146+B153+B155+C152+D146+F143&gt;0,IF(B158&gt;0,B158-(IF(E146+F146+G146+B150+C150+D150+E150+F150&gt;0,ROUND((B158/30)*IF(E146+F146+G146+B150+C150+D150+E150+F150&lt;31,E146+F146+G146+B150+C150+D150+E150+F150,30),2),0)+ROUND(((B158/G142)*(B146+B153+B155+C152+D146)),2)),0),0),0)</f>
        <v>0</v>
      </c>
      <c r="I143" s="151">
        <f>ROUND(D142*ROUND(B160*150%,2)+E142*ROUND(B160*200%,2),2)</f>
        <v>0</v>
      </c>
      <c r="J143" s="151">
        <f>ROUND((J141*H143),2)</f>
        <v>0</v>
      </c>
      <c r="K143" s="151"/>
      <c r="L143" s="151">
        <f>IF(C142&gt;0,C142*ROUND(B160*U$3,2),0)+IF(U$3=0,IF(C142&gt;0,C142*ROUND(20%*ROUND(E$1/G142,2),2),0))</f>
        <v>0</v>
      </c>
      <c r="M143" s="151">
        <f>IF(B146&gt;0,ROUND((B146*C155),2),0)</f>
        <v>0</v>
      </c>
      <c r="N143" s="151">
        <f>IF(B142+D142+E142+F142&gt;0,ROUND((((H143+I143+J143+L143+O143)/(B142+D142+E142+F142))*D146),2),B160*D146)</f>
        <v>0</v>
      </c>
      <c r="O143" s="151">
        <f>ROUND((F142*B160),2)</f>
        <v>0</v>
      </c>
      <c r="P143" s="151">
        <f>IF(C146&gt;0,ROUND((D155/($I$1*8*B167)),2)*C146,0)</f>
        <v>0</v>
      </c>
      <c r="Q143" s="151"/>
      <c r="R143" s="152"/>
      <c r="S143" s="153">
        <f>IF(G160&gt;500,G160-500,0)+IF(F160&gt;190,F160-190,0)</f>
        <v>0</v>
      </c>
      <c r="T143" s="593"/>
      <c r="U143" s="594"/>
      <c r="V143" s="154"/>
    </row>
    <row r="144" spans="1:21" ht="57" customHeight="1">
      <c r="A144" s="568"/>
      <c r="B144" s="554"/>
      <c r="C144" s="554"/>
      <c r="D144" s="554"/>
      <c r="E144" s="599" t="s">
        <v>112</v>
      </c>
      <c r="F144" s="599"/>
      <c r="G144" s="598"/>
      <c r="H144" s="600" t="s">
        <v>113</v>
      </c>
      <c r="I144" s="601"/>
      <c r="J144" s="601"/>
      <c r="K144" s="601"/>
      <c r="L144" s="601"/>
      <c r="M144" s="602">
        <f>H149+I149+M145</f>
        <v>0</v>
      </c>
      <c r="N144" s="603"/>
      <c r="O144" s="604" t="s">
        <v>114</v>
      </c>
      <c r="P144" s="604"/>
      <c r="Q144" s="604"/>
      <c r="R144" s="604"/>
      <c r="S144" s="156">
        <f>S145+O149</f>
        <v>0</v>
      </c>
      <c r="T144" s="605"/>
      <c r="U144" s="606"/>
    </row>
    <row r="145" spans="1:21" ht="38.25" customHeight="1">
      <c r="A145" s="568"/>
      <c r="B145" s="157"/>
      <c r="C145" s="131"/>
      <c r="D145" s="131"/>
      <c r="E145" s="158">
        <v>0.8</v>
      </c>
      <c r="F145" s="158">
        <v>1</v>
      </c>
      <c r="G145" s="159">
        <v>0.8</v>
      </c>
      <c r="H145" s="607" t="s">
        <v>115</v>
      </c>
      <c r="I145" s="608"/>
      <c r="J145" s="609" t="s">
        <v>116</v>
      </c>
      <c r="K145" s="610"/>
      <c r="L145" s="610"/>
      <c r="M145" s="611">
        <f>SUM(J149:N149)</f>
        <v>0</v>
      </c>
      <c r="N145" s="612"/>
      <c r="O145" s="160" t="s">
        <v>117</v>
      </c>
      <c r="P145" s="613" t="s">
        <v>118</v>
      </c>
      <c r="Q145" s="614"/>
      <c r="R145" s="615"/>
      <c r="S145" s="161">
        <f>SUM(P149:S149)</f>
        <v>0</v>
      </c>
      <c r="T145" s="616"/>
      <c r="U145" s="617"/>
    </row>
    <row r="146" spans="1:21" ht="40.5" customHeight="1">
      <c r="A146" s="568"/>
      <c r="B146" s="137"/>
      <c r="C146" s="137"/>
      <c r="D146" s="137"/>
      <c r="E146" s="137"/>
      <c r="F146" s="137"/>
      <c r="G146" s="139"/>
      <c r="H146" s="618" t="s">
        <v>119</v>
      </c>
      <c r="I146" s="162"/>
      <c r="J146" s="620" t="s">
        <v>120</v>
      </c>
      <c r="K146" s="595" t="s">
        <v>121</v>
      </c>
      <c r="L146" s="595" t="s">
        <v>122</v>
      </c>
      <c r="M146" s="595" t="s">
        <v>123</v>
      </c>
      <c r="N146" s="163" t="s">
        <v>124</v>
      </c>
      <c r="O146" s="622" t="s">
        <v>125</v>
      </c>
      <c r="P146" s="624" t="s">
        <v>126</v>
      </c>
      <c r="Q146" s="584" t="s">
        <v>127</v>
      </c>
      <c r="R146" s="634" t="s">
        <v>128</v>
      </c>
      <c r="S146" s="633" t="s">
        <v>129</v>
      </c>
      <c r="T146" s="164"/>
      <c r="U146" s="165"/>
    </row>
    <row r="147" spans="1:21" ht="39.75" customHeight="1">
      <c r="A147" s="568"/>
      <c r="B147" s="571" t="s">
        <v>110</v>
      </c>
      <c r="C147" s="571" t="s">
        <v>130</v>
      </c>
      <c r="D147" s="571" t="s">
        <v>131</v>
      </c>
      <c r="E147" s="571" t="s">
        <v>132</v>
      </c>
      <c r="F147" s="571" t="s">
        <v>110</v>
      </c>
      <c r="G147" s="166" t="s">
        <v>133</v>
      </c>
      <c r="H147" s="619"/>
      <c r="I147" s="167"/>
      <c r="J147" s="621"/>
      <c r="K147" s="554"/>
      <c r="L147" s="554"/>
      <c r="M147" s="554"/>
      <c r="N147" s="168" t="s">
        <v>134</v>
      </c>
      <c r="O147" s="623"/>
      <c r="P147" s="624"/>
      <c r="Q147" s="584"/>
      <c r="R147" s="634"/>
      <c r="S147" s="633"/>
      <c r="T147" s="627">
        <f>I159-S160-P159</f>
        <v>0</v>
      </c>
      <c r="U147" s="628"/>
    </row>
    <row r="148" spans="1:21" ht="35.25" customHeight="1">
      <c r="A148" s="568"/>
      <c r="B148" s="572"/>
      <c r="C148" s="572"/>
      <c r="D148" s="572"/>
      <c r="E148" s="572"/>
      <c r="F148" s="572"/>
      <c r="G148" s="139"/>
      <c r="H148" s="169">
        <f aca="true" t="shared" si="13" ref="H148:M148">IF(H149&gt;0,1,0)</f>
        <v>0</v>
      </c>
      <c r="I148" s="170">
        <f t="shared" si="13"/>
        <v>0</v>
      </c>
      <c r="J148" s="171">
        <f t="shared" si="13"/>
        <v>0</v>
      </c>
      <c r="K148" s="172">
        <f t="shared" si="13"/>
        <v>0</v>
      </c>
      <c r="L148" s="173">
        <f t="shared" si="13"/>
        <v>0</v>
      </c>
      <c r="M148" s="173">
        <f t="shared" si="13"/>
        <v>0</v>
      </c>
      <c r="N148" s="174">
        <v>0</v>
      </c>
      <c r="O148" s="175">
        <f>IF(O149&gt;0,1,0)</f>
        <v>0</v>
      </c>
      <c r="P148" s="171">
        <f>IF(P149&gt;0,1,0)</f>
        <v>0</v>
      </c>
      <c r="Q148" s="173">
        <f>IF(Q149&gt;0,1,0)</f>
        <v>0</v>
      </c>
      <c r="R148" s="173">
        <f>IF(R149&gt;0,1,0)</f>
        <v>0</v>
      </c>
      <c r="S148" s="176">
        <f>IF(S149&gt;0,1,0)</f>
        <v>0</v>
      </c>
      <c r="T148" s="627"/>
      <c r="U148" s="628"/>
    </row>
    <row r="149" spans="1:21" ht="36" customHeight="1" thickBot="1">
      <c r="A149" s="568"/>
      <c r="B149" s="177">
        <v>1</v>
      </c>
      <c r="C149" s="177">
        <v>0.8</v>
      </c>
      <c r="D149" s="572"/>
      <c r="E149" s="572"/>
      <c r="F149" s="177">
        <v>0.7</v>
      </c>
      <c r="G149" s="178">
        <v>0</v>
      </c>
      <c r="H149" s="179">
        <f>IF(E146&gt;0,ROUND((C160*E145),2)*E146,0)+IF(F146&gt;0,C160*F146,0)</f>
        <v>0</v>
      </c>
      <c r="I149" s="180"/>
      <c r="J149" s="181">
        <f>IF(G142&gt;0,IF(B142&gt;=G142,E155-((E155/22)*F155),(E155-(ROUND(((E155/22)*(((G142-B142)/8*B167)+F155)),2))))-IF(B142=0,0,0)-IF(B142&lt;=F155*8*B167,E155-ROUND(((E155/22)*(((G142-B142)/8*B167)+F155)),2),0),0)</f>
        <v>0</v>
      </c>
      <c r="K149" s="182">
        <f>G158-R149</f>
        <v>0</v>
      </c>
      <c r="L149" s="182">
        <f>IF(F160&gt;0,IF(F160&lt;190,F160,190),0)</f>
        <v>0</v>
      </c>
      <c r="M149" s="182"/>
      <c r="N149" s="183">
        <f>IF(N148&gt;0,L$3*B167*N148,0)</f>
        <v>0</v>
      </c>
      <c r="O149" s="184">
        <f>IF(C167&lt;=$P$2,IF(G160&gt;0,IF(G160&lt;500,G160,500),0),0)</f>
        <v>0</v>
      </c>
      <c r="P149" s="181">
        <f>IF(G155&gt;0,ROUND(((G155/G142)*B142),2),0)+G154</f>
        <v>0</v>
      </c>
      <c r="Q149" s="182">
        <f>IF(F153&gt;0,ROUND((F153/G142)*B142,2),0)</f>
        <v>0</v>
      </c>
      <c r="R149" s="182">
        <f>IF(G158&gt;0,IF(G158&lt;380,G158,380),0)</f>
        <v>0</v>
      </c>
      <c r="S149" s="185"/>
      <c r="T149" s="627"/>
      <c r="U149" s="628"/>
    </row>
    <row r="150" spans="1:21" ht="60" customHeight="1" thickBot="1" thickTop="1">
      <c r="A150" s="568"/>
      <c r="B150" s="137"/>
      <c r="C150" s="137"/>
      <c r="D150" s="137"/>
      <c r="E150" s="137"/>
      <c r="F150" s="137"/>
      <c r="G150" s="139">
        <f>IF(L138+L151-Q149-P149-K159-J149&gt;$F$1,IF(G149&gt;0,IF(((H159-S160-L165-L159-J149-K149-L149-O162+P167)*(100%-G149))&gt;=(($F$1*B167)-IF(ROUND(((ROUND(($F$1-C167),0.1)*E167)-D167),0.1)&gt;0,ROUND(((ROUND(($F$1-C167),0.1)*E167)-D167),0.1),0)),((H159-S160-L165-L159-J149-K149-L149-O162+P167)*G149)))+IF(G149&gt;0,IF(((H159-S160-L165-L159-J149-K149-L149-O162+P167)*(100%-G149))&lt;(($F$1*B167)-IF(ROUND(((ROUND(($F$1-C167),0.1)*E167)-D167),0.1)&gt;0,ROUND(((ROUND(($F$1-C167),0.1)*E167)-D167),0.1),0)),(H159-S160-L165-L159-J149-K149-L149-O162+P167)-(($F$1*B167)-IF(ROUND(((ROUND(($F$1-C167),0.1)*E167)-D167),0.1)&gt;0,ROUND(((ROUND(($F$1-C167),0.1)*E167)-D167),0.1),0)))),0)</f>
        <v>0</v>
      </c>
      <c r="H150" s="629" t="s">
        <v>135</v>
      </c>
      <c r="I150" s="630"/>
      <c r="J150" s="630"/>
      <c r="K150" s="575">
        <f>L151+P150</f>
        <v>0</v>
      </c>
      <c r="L150" s="576"/>
      <c r="M150" s="631" t="s">
        <v>136</v>
      </c>
      <c r="N150" s="632"/>
      <c r="O150" s="632"/>
      <c r="P150" s="575">
        <f>P151+S151</f>
        <v>0</v>
      </c>
      <c r="Q150" s="575"/>
      <c r="R150" s="186"/>
      <c r="S150" s="186"/>
      <c r="T150" s="187">
        <v>200</v>
      </c>
      <c r="U150" s="188">
        <f>ROUND(((1400/'[1]Li-pł zlec'!$V$1)*'[1]LI-PŁ-prac'!T150),2)+((H149+L151)-ROUND(((H149+L151)*$N$3),2))+O152+P152+P154+R154+S154-O159-L159-M159</f>
        <v>1750</v>
      </c>
    </row>
    <row r="151" spans="1:21" ht="119.25" customHeight="1">
      <c r="A151" s="568"/>
      <c r="B151" s="189" t="s">
        <v>137</v>
      </c>
      <c r="C151" s="190" t="s">
        <v>138</v>
      </c>
      <c r="D151" s="595" t="s">
        <v>139</v>
      </c>
      <c r="E151" s="649" t="s">
        <v>307</v>
      </c>
      <c r="F151" s="191" t="s">
        <v>140</v>
      </c>
      <c r="G151" s="192" t="s">
        <v>141</v>
      </c>
      <c r="H151" s="651" t="s">
        <v>142</v>
      </c>
      <c r="I151" s="652"/>
      <c r="J151" s="652"/>
      <c r="K151" s="652"/>
      <c r="L151" s="193">
        <f>SUM(H154:L154)</f>
        <v>0</v>
      </c>
      <c r="M151" s="625"/>
      <c r="N151" s="626"/>
      <c r="O151" s="626"/>
      <c r="P151" s="193"/>
      <c r="Q151" s="635"/>
      <c r="R151" s="636"/>
      <c r="S151" s="194"/>
      <c r="T151" s="637"/>
      <c r="U151" s="638"/>
    </row>
    <row r="152" spans="1:21" ht="141" customHeight="1" thickBot="1">
      <c r="A152" s="568"/>
      <c r="B152" s="195" t="s">
        <v>143</v>
      </c>
      <c r="C152" s="196"/>
      <c r="D152" s="554"/>
      <c r="E152" s="650"/>
      <c r="F152" s="197">
        <f>IF(F153&gt;0,1,0)</f>
        <v>0</v>
      </c>
      <c r="G152" s="155" t="s">
        <v>308</v>
      </c>
      <c r="H152" s="198" t="s">
        <v>144</v>
      </c>
      <c r="I152" s="199" t="s">
        <v>145</v>
      </c>
      <c r="J152" s="199" t="s">
        <v>146</v>
      </c>
      <c r="K152" s="199" t="s">
        <v>147</v>
      </c>
      <c r="L152" s="200" t="s">
        <v>148</v>
      </c>
      <c r="M152" s="201"/>
      <c r="N152" s="202"/>
      <c r="O152" s="203"/>
      <c r="P152" s="204"/>
      <c r="Q152" s="205"/>
      <c r="R152" s="206"/>
      <c r="S152" s="207"/>
      <c r="T152" s="637"/>
      <c r="U152" s="638"/>
    </row>
    <row r="153" spans="1:21" ht="51.75" customHeight="1">
      <c r="A153" s="568"/>
      <c r="B153" s="208"/>
      <c r="C153" s="595" t="s">
        <v>149</v>
      </c>
      <c r="D153" s="554"/>
      <c r="E153" s="209"/>
      <c r="F153" s="210">
        <f>IF(T139&gt;0,$H$3,0)</f>
        <v>0</v>
      </c>
      <c r="G153" s="211">
        <f>IF(G154+G155&gt;0,1,0)</f>
        <v>0</v>
      </c>
      <c r="H153" s="212">
        <f>IF(H154&gt;0,1,0)</f>
        <v>0</v>
      </c>
      <c r="I153" s="213">
        <f>IF(I154&gt;0,1,0)</f>
        <v>0</v>
      </c>
      <c r="J153" s="213">
        <f>IF(J154&gt;0,1,0)</f>
        <v>0</v>
      </c>
      <c r="K153" s="213">
        <f>IF(K154&gt;0,1,0)</f>
        <v>0</v>
      </c>
      <c r="L153" s="214">
        <f>IF(L154&gt;0,1,0)</f>
        <v>0</v>
      </c>
      <c r="M153" s="639" t="s">
        <v>150</v>
      </c>
      <c r="N153" s="640"/>
      <c r="O153" s="641"/>
      <c r="P153" s="642"/>
      <c r="Q153" s="215"/>
      <c r="R153" s="216"/>
      <c r="S153" s="217"/>
      <c r="T153" s="643"/>
      <c r="U153" s="644"/>
    </row>
    <row r="154" spans="1:21" ht="60.75" customHeight="1" thickBot="1">
      <c r="A154" s="568"/>
      <c r="B154" s="218" t="s">
        <v>151</v>
      </c>
      <c r="C154" s="554"/>
      <c r="D154" s="131"/>
      <c r="E154" s="219">
        <f>IF(E153&gt;0,C$3,0)</f>
        <v>0</v>
      </c>
      <c r="F154" s="220" t="s">
        <v>152</v>
      </c>
      <c r="G154" s="221"/>
      <c r="H154" s="179">
        <f>IF(G146&gt;0,(ROUND((C160*G145),2)*G146),0)+IF(B150&gt;0,(ROUND((C160*B149),2)*B150),0)+IF(F150&gt;0,(ROUND((C160*F149),2)*F150),0)</f>
        <v>0</v>
      </c>
      <c r="I154" s="182">
        <f>IF(E150&gt;0,(ROUND(((D160*D159)/30),2)*E150),0)</f>
        <v>0</v>
      </c>
      <c r="J154" s="182">
        <f>IF(C150&gt;0,(ROUND(C160*C149,2)*C150),0)</f>
        <v>0</v>
      </c>
      <c r="K154" s="182">
        <f>IF(D150&gt;0,(ROUND(C160,2)*D150),0)</f>
        <v>0</v>
      </c>
      <c r="L154" s="222">
        <f>E160</f>
        <v>0</v>
      </c>
      <c r="M154" s="645">
        <f>Q139+M144+L151</f>
        <v>0</v>
      </c>
      <c r="N154" s="646"/>
      <c r="O154" s="202"/>
      <c r="P154" s="223"/>
      <c r="Q154" s="224"/>
      <c r="R154" s="182"/>
      <c r="S154" s="185"/>
      <c r="T154" s="695" t="s">
        <v>153</v>
      </c>
      <c r="U154" s="696"/>
    </row>
    <row r="155" spans="1:21" ht="41.25" customHeight="1" thickTop="1">
      <c r="A155" s="568"/>
      <c r="B155" s="208"/>
      <c r="C155" s="208"/>
      <c r="D155" s="208"/>
      <c r="E155" s="203">
        <f>ROUND((E153*E154),2)</f>
        <v>0</v>
      </c>
      <c r="F155" s="225"/>
      <c r="G155" s="226"/>
      <c r="H155" s="653" t="s">
        <v>309</v>
      </c>
      <c r="I155" s="655" t="s">
        <v>154</v>
      </c>
      <c r="J155" s="657" t="s">
        <v>155</v>
      </c>
      <c r="K155" s="660" t="s">
        <v>156</v>
      </c>
      <c r="L155" s="661" t="s">
        <v>157</v>
      </c>
      <c r="M155" s="661"/>
      <c r="N155" s="661"/>
      <c r="O155" s="662"/>
      <c r="P155" s="663" t="s">
        <v>158</v>
      </c>
      <c r="Q155" s="227" t="s">
        <v>159</v>
      </c>
      <c r="R155" s="228" t="s">
        <v>160</v>
      </c>
      <c r="S155" s="229" t="s">
        <v>161</v>
      </c>
      <c r="T155" s="695" t="s">
        <v>162</v>
      </c>
      <c r="U155" s="696"/>
    </row>
    <row r="156" spans="1:21" ht="92.25" customHeight="1">
      <c r="A156" s="568"/>
      <c r="B156" s="664" t="s">
        <v>163</v>
      </c>
      <c r="C156" s="117" t="s">
        <v>164</v>
      </c>
      <c r="D156" s="337" t="s">
        <v>165</v>
      </c>
      <c r="E156" s="146" t="s">
        <v>166</v>
      </c>
      <c r="F156" s="697" t="s">
        <v>167</v>
      </c>
      <c r="G156" s="191" t="s">
        <v>168</v>
      </c>
      <c r="H156" s="654"/>
      <c r="I156" s="656"/>
      <c r="J156" s="658"/>
      <c r="K156" s="584"/>
      <c r="L156" s="232" t="s">
        <v>169</v>
      </c>
      <c r="M156" s="123" t="s">
        <v>170</v>
      </c>
      <c r="N156" s="136" t="s">
        <v>171</v>
      </c>
      <c r="O156" s="136" t="s">
        <v>172</v>
      </c>
      <c r="P156" s="556"/>
      <c r="Q156" s="233">
        <f>ROUND(IF(S161&gt;$N$4,IF(S161&lt;=$O$4,7866.25+((S161-$N$4)*$O$3)),0)+IF(S161&gt;$O$4,20177.65+((S161-$O$4)*$P$3),0)+IF(S161&lt;=$N$4,IF(S161*E167&gt;0,S161*E167),0),0.1)</f>
        <v>0</v>
      </c>
      <c r="R156" s="234">
        <f>IF(L151&gt;0,ROUND((ROUND((L151),0.1)*E167),0.1),0)</f>
        <v>0</v>
      </c>
      <c r="S156" s="235">
        <f>IF(Q156+R156-D167&gt;=0,Q156+R156-D167,0)+IF(D167-Q156+R156&gt;0&lt;D167+0.001,Q156+R156-D167,0)</f>
        <v>0</v>
      </c>
      <c r="T156" s="695" t="s">
        <v>173</v>
      </c>
      <c r="U156" s="696"/>
    </row>
    <row r="157" spans="1:21" ht="36.75" customHeight="1">
      <c r="A157" s="568"/>
      <c r="B157" s="665"/>
      <c r="C157" s="230"/>
      <c r="D157" s="236"/>
      <c r="E157" s="237"/>
      <c r="F157" s="698"/>
      <c r="G157" s="239" t="s">
        <v>310</v>
      </c>
      <c r="H157" s="654"/>
      <c r="I157" s="656"/>
      <c r="J157" s="658"/>
      <c r="K157" s="584"/>
      <c r="L157" s="123"/>
      <c r="M157" s="240"/>
      <c r="N157" s="241"/>
      <c r="O157" s="136"/>
      <c r="P157" s="556"/>
      <c r="Q157" s="668" t="s">
        <v>174</v>
      </c>
      <c r="R157" s="669"/>
      <c r="S157" s="235">
        <f>ROUND(IF(S156&gt;=L167,S156-L167,0),0.1)</f>
        <v>0</v>
      </c>
      <c r="T157" s="338" t="str">
        <f>L$8</f>
        <v>styczeń</v>
      </c>
      <c r="U157" s="339" t="str">
        <f>N$8</f>
        <v>2011 r.</v>
      </c>
    </row>
    <row r="158" spans="1:21" ht="48" customHeight="1">
      <c r="A158" s="568"/>
      <c r="B158" s="244">
        <f>IF(B159=0,IF(T139&gt;0,IF(T144&gt;0,IF(T144="I kl",O$1)+IF(T144="II kl",P$1)+IF(T144="III kl",Q$1),ROUND((E$1*B167),2)),0),0)</f>
        <v>0</v>
      </c>
      <c r="C158" s="118" t="s">
        <v>175</v>
      </c>
      <c r="D158" s="123" t="s">
        <v>176</v>
      </c>
      <c r="E158" s="245"/>
      <c r="F158" s="698"/>
      <c r="G158" s="139"/>
      <c r="H158" s="246">
        <f>IF(H159&gt;0,1,0)</f>
        <v>0</v>
      </c>
      <c r="I158" s="247">
        <f>IF(I159&gt;0,1,0)</f>
        <v>0</v>
      </c>
      <c r="J158" s="658"/>
      <c r="K158" s="248">
        <f aca="true" t="shared" si="14" ref="K158:P158">IF(K159&gt;0,1,0)</f>
        <v>0</v>
      </c>
      <c r="L158" s="249">
        <f t="shared" si="14"/>
        <v>0</v>
      </c>
      <c r="M158" s="250">
        <f t="shared" si="14"/>
        <v>0</v>
      </c>
      <c r="N158" s="249">
        <f t="shared" si="14"/>
        <v>0</v>
      </c>
      <c r="O158" s="251">
        <f t="shared" si="14"/>
        <v>0</v>
      </c>
      <c r="P158" s="252">
        <f t="shared" si="14"/>
        <v>0</v>
      </c>
      <c r="Q158" s="670" t="s">
        <v>177</v>
      </c>
      <c r="R158" s="253" t="s">
        <v>178</v>
      </c>
      <c r="S158" s="235">
        <v>0</v>
      </c>
      <c r="T158" s="647" t="s">
        <v>179</v>
      </c>
      <c r="U158" s="648"/>
    </row>
    <row r="159" spans="1:21" ht="57.75" customHeight="1" thickBot="1">
      <c r="A159" s="568"/>
      <c r="B159" s="254"/>
      <c r="C159" s="230"/>
      <c r="D159" s="177">
        <v>0.9</v>
      </c>
      <c r="E159" s="255">
        <f>IF(E157&gt;0,$U$1-E158,0)</f>
        <v>0</v>
      </c>
      <c r="F159" s="238">
        <f>IF(F160&gt;0,1,0)</f>
        <v>0</v>
      </c>
      <c r="G159" s="256" t="s">
        <v>180</v>
      </c>
      <c r="H159" s="257">
        <f>P138+L151-P167</f>
        <v>0</v>
      </c>
      <c r="I159" s="233">
        <f>L138+K150</f>
        <v>0</v>
      </c>
      <c r="J159" s="659"/>
      <c r="K159" s="244">
        <f>S143+K149+L149+O149+R149+O162+L165-N159</f>
        <v>0</v>
      </c>
      <c r="L159" s="244"/>
      <c r="M159" s="244">
        <f>G148+IF(G150&gt;0,G150,0)</f>
        <v>0</v>
      </c>
      <c r="N159" s="244">
        <f>L165-L167</f>
        <v>0</v>
      </c>
      <c r="O159" s="244"/>
      <c r="P159" s="258">
        <f>SUM(K159:O159)</f>
        <v>0</v>
      </c>
      <c r="Q159" s="671"/>
      <c r="R159" s="259" t="s">
        <v>181</v>
      </c>
      <c r="S159" s="235">
        <v>0</v>
      </c>
      <c r="T159" s="647" t="s">
        <v>182</v>
      </c>
      <c r="U159" s="648"/>
    </row>
    <row r="160" spans="1:21" ht="45.75" customHeight="1" thickBot="1" thickTop="1">
      <c r="A160" s="569"/>
      <c r="B160" s="244">
        <f>IF(B159=0,ROUND(IF(B158&gt;0,CEILING((B158/G142),0.01),B159),2),B159)</f>
        <v>0</v>
      </c>
      <c r="C160" s="244">
        <f>IF(T139&gt;0,(IF(C157&gt;0,ROUND(((C157-(C157*(B163+C163+D163)))/30),2),0)+IF(C159&gt;0,ROUND((C159/30),2),0))+(IF(IF(C157&gt;0,ROUND(((C157-(C157*(B163+C163+D163)))/30),2),0)+IF(C159&gt;0,ROUND((C159/30),2),0)&lt;ROUND((($F$1*B167)/30),2),(IF(C157+C159&gt;0,ROUND((($F$1*B167)/30),2)-(IF(C157&gt;0,ROUND(((C157-(C157*(B163+C163+D163)))/30),2),0)+IF(C159&gt;0,ROUND((C159/30),2),0)))),0)),0)</f>
        <v>0</v>
      </c>
      <c r="D160" s="244"/>
      <c r="E160" s="244">
        <f>IF(E159&gt;0,IF(ROUND(E157-((E157/30)*E158),2)-H162+O162&gt;0,ROUND(E157-((E157/30)*E158),2)-H162+O162,0),0)</f>
        <v>0</v>
      </c>
      <c r="F160" s="137"/>
      <c r="G160" s="139"/>
      <c r="H160" s="672" t="s">
        <v>183</v>
      </c>
      <c r="I160" s="673"/>
      <c r="J160" s="673"/>
      <c r="K160" s="673"/>
      <c r="L160" s="673"/>
      <c r="M160" s="674" t="s">
        <v>184</v>
      </c>
      <c r="N160" s="675"/>
      <c r="O160" s="260" t="s">
        <v>185</v>
      </c>
      <c r="P160" s="261" t="s">
        <v>186</v>
      </c>
      <c r="Q160" s="676" t="s">
        <v>187</v>
      </c>
      <c r="R160" s="677"/>
      <c r="S160" s="262">
        <f>ROUND((IF(S157-S158&gt;=0,S157-S158,0)+S159),0.1)</f>
        <v>0</v>
      </c>
      <c r="T160" s="263" t="str">
        <f>L$8</f>
        <v>styczeń</v>
      </c>
      <c r="U160" s="264" t="str">
        <f>N$8</f>
        <v>2011 r.</v>
      </c>
    </row>
    <row r="161" spans="1:21" ht="69.75" customHeight="1" thickBot="1" thickTop="1">
      <c r="A161" s="568"/>
      <c r="B161" s="699" t="s">
        <v>188</v>
      </c>
      <c r="C161" s="700"/>
      <c r="D161" s="700"/>
      <c r="E161" s="701"/>
      <c r="F161" s="265" t="s">
        <v>189</v>
      </c>
      <c r="G161" s="266" t="s">
        <v>190</v>
      </c>
      <c r="H161" s="267" t="s">
        <v>191</v>
      </c>
      <c r="I161" s="268" t="s">
        <v>192</v>
      </c>
      <c r="J161" s="269" t="s">
        <v>193</v>
      </c>
      <c r="K161" s="238" t="s">
        <v>194</v>
      </c>
      <c r="L161" s="270" t="s">
        <v>195</v>
      </c>
      <c r="M161" s="198" t="s">
        <v>196</v>
      </c>
      <c r="N161" s="271" t="s">
        <v>197</v>
      </c>
      <c r="O161" s="294" t="s">
        <v>198</v>
      </c>
      <c r="P161" s="273" t="s">
        <v>199</v>
      </c>
      <c r="Q161" s="340" t="s">
        <v>200</v>
      </c>
      <c r="R161" s="275" t="s">
        <v>201</v>
      </c>
      <c r="S161" s="276">
        <f>IF(ROUND((P138-P167-C167),0.1)&gt;0,ROUND((P138-P167-C167),0.1),0)</f>
        <v>0</v>
      </c>
      <c r="T161" s="277"/>
      <c r="U161" s="278"/>
    </row>
    <row r="162" spans="1:21" ht="81" customHeight="1" thickTop="1">
      <c r="A162" s="568"/>
      <c r="B162" s="279" t="s">
        <v>202</v>
      </c>
      <c r="C162" s="279" t="s">
        <v>203</v>
      </c>
      <c r="D162" s="279" t="s">
        <v>204</v>
      </c>
      <c r="E162" s="279" t="s">
        <v>205</v>
      </c>
      <c r="F162" s="279" t="s">
        <v>206</v>
      </c>
      <c r="G162" s="280">
        <f>ROUND((H162*G164),2)</f>
        <v>0</v>
      </c>
      <c r="H162" s="281">
        <f>Q139+O149</f>
        <v>0</v>
      </c>
      <c r="I162" s="282">
        <f>Q139+O149</f>
        <v>0</v>
      </c>
      <c r="J162" s="282">
        <f>Q139+O149</f>
        <v>0</v>
      </c>
      <c r="K162" s="282">
        <f>Q139+O149</f>
        <v>0</v>
      </c>
      <c r="L162" s="283">
        <f>Q139+H149+I149-O162+O149</f>
        <v>0</v>
      </c>
      <c r="M162" s="284">
        <f>IF(D157&gt;0,IF(D157&lt;$U$1,ROUND((($E$1/$U$1)*D157),2),$E$1))+IF(K154&gt;0,K154,0)</f>
        <v>0</v>
      </c>
      <c r="N162" s="285">
        <f>M162</f>
        <v>0</v>
      </c>
      <c r="O162" s="286">
        <f>SUM(H165:J165)</f>
        <v>0</v>
      </c>
      <c r="P162" s="287">
        <f>IF(P163&gt;0,1,0)</f>
        <v>0</v>
      </c>
      <c r="Q162" s="288">
        <f>ROUND((H162-O149-P167+H149+I149)*$R$3,2)</f>
        <v>0</v>
      </c>
      <c r="R162" s="681" t="s">
        <v>207</v>
      </c>
      <c r="S162" s="683" t="s">
        <v>311</v>
      </c>
      <c r="T162" s="289"/>
      <c r="U162" s="278"/>
    </row>
    <row r="163" spans="1:21" ht="38.25" customHeight="1">
      <c r="A163" s="568"/>
      <c r="B163" s="158">
        <f>IF(H162&gt;0,B$2,0)</f>
        <v>0</v>
      </c>
      <c r="C163" s="158">
        <f>IF(I162&gt;0,H$4,0)</f>
        <v>0</v>
      </c>
      <c r="D163" s="158">
        <f>IF(J162&gt;0,F$2,0)</f>
        <v>0</v>
      </c>
      <c r="E163" s="158" t="s">
        <v>208</v>
      </c>
      <c r="F163" s="290" t="s">
        <v>209</v>
      </c>
      <c r="G163" s="291">
        <v>0</v>
      </c>
      <c r="H163" s="685" t="s">
        <v>210</v>
      </c>
      <c r="I163" s="686"/>
      <c r="J163" s="686"/>
      <c r="K163" s="686"/>
      <c r="L163" s="686"/>
      <c r="M163" s="292" t="s">
        <v>211</v>
      </c>
      <c r="N163" s="293" t="s">
        <v>212</v>
      </c>
      <c r="O163" s="294" t="s">
        <v>213</v>
      </c>
      <c r="P163" s="52">
        <f>IF(I162&lt;$E$1,IF(B167=1,IF(T144=0,ROUND((I162*$L$2),2),0),0),ROUND((I162*$L$2),2))</f>
        <v>0</v>
      </c>
      <c r="Q163" s="295" t="s">
        <v>214</v>
      </c>
      <c r="R163" s="682"/>
      <c r="S163" s="684"/>
      <c r="T163" s="289"/>
      <c r="U163" s="278"/>
    </row>
    <row r="164" spans="1:21" ht="42.75" customHeight="1" thickBot="1">
      <c r="A164" s="568"/>
      <c r="B164" s="158">
        <f>IF(H162&gt;0,B$2,0)</f>
        <v>0</v>
      </c>
      <c r="C164" s="158">
        <f>IF(I162&gt;0,D$2,0)</f>
        <v>0</v>
      </c>
      <c r="D164" s="158" t="s">
        <v>208</v>
      </c>
      <c r="E164" s="158">
        <f>IF(K162&gt;0,H$2,0)</f>
        <v>0</v>
      </c>
      <c r="F164" s="158">
        <f>IF(L162&gt;0,J$2,0)</f>
        <v>0</v>
      </c>
      <c r="G164" s="158">
        <f>IF(G163&gt;0,L$1,0)</f>
        <v>0</v>
      </c>
      <c r="H164" s="296" t="s">
        <v>215</v>
      </c>
      <c r="I164" s="297" t="s">
        <v>215</v>
      </c>
      <c r="J164" s="297" t="s">
        <v>215</v>
      </c>
      <c r="K164" s="298" t="s">
        <v>209</v>
      </c>
      <c r="L164" s="299" t="s">
        <v>215</v>
      </c>
      <c r="M164" s="300">
        <f>ROUND(M162*(B$2+B$2),2)</f>
        <v>0</v>
      </c>
      <c r="N164" s="301">
        <f>ROUND(N162*(D$2+H$4),2)</f>
        <v>0</v>
      </c>
      <c r="O164" s="302">
        <f>H167+I167+K167+G162</f>
        <v>0</v>
      </c>
      <c r="P164" s="303" t="s">
        <v>216</v>
      </c>
      <c r="Q164" s="304">
        <f>ROUND((L162*J$2),2)</f>
        <v>0</v>
      </c>
      <c r="R164" s="305" t="s">
        <v>217</v>
      </c>
      <c r="S164" s="684"/>
      <c r="T164" s="289"/>
      <c r="U164" s="278"/>
    </row>
    <row r="165" spans="1:21" ht="53.25" customHeight="1" thickBot="1" thickTop="1">
      <c r="A165" s="568"/>
      <c r="B165" s="141">
        <f>IF(B163+B164&gt;0,1,0)</f>
        <v>0</v>
      </c>
      <c r="C165" s="141">
        <f>IF(C163+C164&gt;0,1,0)</f>
        <v>0</v>
      </c>
      <c r="D165" s="141">
        <f>IF(D163&gt;0,1,0)</f>
        <v>0</v>
      </c>
      <c r="E165" s="141">
        <f>IF(E164&gt;0,1,0)</f>
        <v>0</v>
      </c>
      <c r="F165" s="141">
        <f>IF(F164&gt;0,1,0)</f>
        <v>0</v>
      </c>
      <c r="G165" s="141">
        <f>IF(G164&gt;0,1,0)</f>
        <v>0</v>
      </c>
      <c r="H165" s="306">
        <f>ROUND(H162*B163,2)</f>
        <v>0</v>
      </c>
      <c r="I165" s="307">
        <f>ROUND(I162*C163,2)</f>
        <v>0</v>
      </c>
      <c r="J165" s="307">
        <f>ROUND(J162*D163,2)</f>
        <v>0</v>
      </c>
      <c r="K165" s="244" t="s">
        <v>209</v>
      </c>
      <c r="L165" s="307">
        <f>IF(S156&gt;=ROUND(L162*F164,2),ROUND(L162*F164,2),S156)</f>
        <v>0</v>
      </c>
      <c r="M165" s="687" t="s">
        <v>218</v>
      </c>
      <c r="N165" s="688"/>
      <c r="O165" s="689" t="s">
        <v>219</v>
      </c>
      <c r="P165" s="308">
        <f>IF(P166&gt;0,1,0)</f>
        <v>0</v>
      </c>
      <c r="Q165" s="309" t="s">
        <v>220</v>
      </c>
      <c r="R165" s="310">
        <f>IF(B142=G142,H143+I143+J143+L143+O143+R143+IF(K143&gt;0,ROUND((K143/K141),2),0),0)+IF(B142&lt;G142,IF(B142&gt;0,ROUND((((H143+J143)/B142)*(G142-B155)),2)+IF(K143&gt;0,ROUND((K143/K141),2),0)+I143+L143+O143+R143,0),0)</f>
        <v>0</v>
      </c>
      <c r="S165" s="235">
        <f>IF(S157-S158&lt;0,S158-S157,0)</f>
        <v>0</v>
      </c>
      <c r="T165" s="289"/>
      <c r="U165" s="278"/>
    </row>
    <row r="166" spans="1:22" ht="63" customHeight="1" thickBot="1" thickTop="1">
      <c r="A166" s="568"/>
      <c r="B166" s="311" t="s">
        <v>221</v>
      </c>
      <c r="C166" s="311" t="s">
        <v>222</v>
      </c>
      <c r="D166" s="311" t="s">
        <v>34</v>
      </c>
      <c r="E166" s="146" t="s">
        <v>223</v>
      </c>
      <c r="F166" s="312" t="s">
        <v>224</v>
      </c>
      <c r="G166" s="139">
        <f>IF(Q162&gt;Q156,Q162-Q156,0)</f>
        <v>0</v>
      </c>
      <c r="H166" s="313" t="s">
        <v>225</v>
      </c>
      <c r="I166" s="314" t="s">
        <v>225</v>
      </c>
      <c r="J166" s="298" t="s">
        <v>209</v>
      </c>
      <c r="K166" s="315" t="s">
        <v>225</v>
      </c>
      <c r="L166" s="316" t="s">
        <v>226</v>
      </c>
      <c r="M166" s="317" t="s">
        <v>227</v>
      </c>
      <c r="N166" s="318" t="s">
        <v>228</v>
      </c>
      <c r="O166" s="690"/>
      <c r="P166" s="319">
        <f>ROUND(N$2*H162,2)</f>
        <v>0</v>
      </c>
      <c r="Q166" s="320">
        <f>IF(D157&gt;0,$U$2,0)</f>
        <v>0</v>
      </c>
      <c r="R166" s="321" t="s">
        <v>229</v>
      </c>
      <c r="S166" s="322" t="s">
        <v>230</v>
      </c>
      <c r="T166" s="691" t="s">
        <v>231</v>
      </c>
      <c r="U166" s="702"/>
      <c r="V166" s="323">
        <f>IF(ISBLANK(AM138),0,IF(IF(AF153&gt;=AI$2,AI$2,AF153)&gt;0,IF(AF153&gt;=AI$2,AI$2,AF153),0))</f>
        <v>0</v>
      </c>
    </row>
    <row r="167" spans="1:22" ht="42" customHeight="1" thickBot="1" thickTop="1">
      <c r="A167" s="570"/>
      <c r="B167" s="324">
        <f>IF(ISBLANK(T139),0,1)</f>
        <v>0</v>
      </c>
      <c r="C167" s="324">
        <f>IF(ISBLANK(T139),0,IF(IF(M154&gt;=P$2,P$2,M154)&gt;0,IF(M154&gt;=P$2,P$2,M154),0))</f>
        <v>0</v>
      </c>
      <c r="D167" s="324">
        <f>IF(ISBLANK(T139),0,S$1)</f>
        <v>0</v>
      </c>
      <c r="E167" s="325">
        <f>IF(G142&gt;0,$N$3,0)</f>
        <v>0</v>
      </c>
      <c r="F167" s="326">
        <f>O162+O164+P163+P166+L165+S160</f>
        <v>0</v>
      </c>
      <c r="G167" s="327">
        <f>IF(G166&gt;0,1,0)</f>
        <v>0</v>
      </c>
      <c r="H167" s="328">
        <f>ROUND(H162*B163,2)</f>
        <v>0</v>
      </c>
      <c r="I167" s="329">
        <f>ROUND(I162*C164,2)</f>
        <v>0</v>
      </c>
      <c r="J167" s="182" t="s">
        <v>209</v>
      </c>
      <c r="K167" s="330">
        <f>ROUND(K162*E164,2)</f>
        <v>0</v>
      </c>
      <c r="L167" s="185">
        <f>IF(S156&gt;=ROUND((H162-O149-P167+H149+I149)*$R$3,2),ROUND((H162-O149-P167+H149+I149)*$R$3,2),S156)</f>
        <v>0</v>
      </c>
      <c r="M167" s="179">
        <f>O162+O164</f>
        <v>0</v>
      </c>
      <c r="N167" s="331">
        <f>M167+L165</f>
        <v>0</v>
      </c>
      <c r="O167" s="332">
        <f>SUM(M164:N164)</f>
        <v>0</v>
      </c>
      <c r="P167" s="333">
        <f>ROUND(Q139*B163,2)+ROUND(Q139*C163,2)+ROUND(Q139*D163,2)</f>
        <v>0</v>
      </c>
      <c r="Q167" s="334">
        <f>IF(D157&gt;0,ROUND(($U$2*J$2),2),0)</f>
        <v>0</v>
      </c>
      <c r="R167" s="335">
        <f>IF(B142&gt;=G142/2,IF(B142=G142,H143+I143+J143+L143+O143+P143+R143+IF(K143&gt;0,ROUND((K143/K141),2),0),ROUND((((H143+J143+L143)/B142)*(G142-B155)),2)+IF(K143&gt;0,ROUND((K143/K141),2),0)+I143+O143+P143+R143),0)</f>
        <v>0</v>
      </c>
      <c r="S167" s="336">
        <f>IF(P138-O162-S160-L165&gt;0,P138-O162-S160-L165,0)</f>
        <v>0</v>
      </c>
      <c r="T167" s="693" t="s">
        <v>232</v>
      </c>
      <c r="U167" s="703"/>
      <c r="V167" s="323">
        <f>IF(ISBLANK(AM139),0,IF(IF(AF154&gt;=AJ$2,AJ$2,AF154)&gt;0,IF(AF154&gt;=AJ$2,AJ$2,AF154),0))</f>
        <v>0</v>
      </c>
    </row>
    <row r="168" ht="24" customHeight="1" thickTop="1"/>
    <row r="169" spans="1:23" ht="33" customHeight="1" thickBot="1">
      <c r="A169" s="111" t="s">
        <v>72</v>
      </c>
      <c r="B169" s="112" t="s">
        <v>73</v>
      </c>
      <c r="C169" s="113"/>
      <c r="D169" s="113"/>
      <c r="E169" s="114"/>
      <c r="F169" s="553" t="s">
        <v>74</v>
      </c>
      <c r="G169" s="555" t="s">
        <v>75</v>
      </c>
      <c r="H169" s="557" t="s">
        <v>76</v>
      </c>
      <c r="I169" s="557"/>
      <c r="J169" s="558"/>
      <c r="K169" s="559"/>
      <c r="L169" s="560"/>
      <c r="M169" s="560"/>
      <c r="N169" s="560"/>
      <c r="O169" s="561"/>
      <c r="P169" s="559"/>
      <c r="Q169" s="560"/>
      <c r="R169" s="560"/>
      <c r="S169" s="560"/>
      <c r="T169" s="565" t="s">
        <v>77</v>
      </c>
      <c r="U169" s="566"/>
      <c r="V169" s="102"/>
      <c r="W169" s="115"/>
    </row>
    <row r="170" spans="1:23" ht="44.25" customHeight="1" thickBot="1" thickTop="1">
      <c r="A170" s="567">
        <f>A138+1</f>
        <v>6</v>
      </c>
      <c r="B170" s="571" t="s">
        <v>79</v>
      </c>
      <c r="C170" s="571" t="s">
        <v>80</v>
      </c>
      <c r="D170" s="573" t="s">
        <v>81</v>
      </c>
      <c r="E170" s="573"/>
      <c r="F170" s="554"/>
      <c r="G170" s="556"/>
      <c r="H170" s="574" t="s">
        <v>82</v>
      </c>
      <c r="I170" s="574"/>
      <c r="J170" s="574"/>
      <c r="K170" s="574"/>
      <c r="L170" s="575">
        <f>P170+S176</f>
        <v>0</v>
      </c>
      <c r="M170" s="576"/>
      <c r="N170" s="577" t="s">
        <v>83</v>
      </c>
      <c r="O170" s="578"/>
      <c r="P170" s="575">
        <f>Q171+M176</f>
        <v>0</v>
      </c>
      <c r="Q170" s="576"/>
      <c r="R170" s="119"/>
      <c r="S170" s="120"/>
      <c r="T170" s="121"/>
      <c r="U170" s="122"/>
      <c r="V170" s="102"/>
      <c r="W170" s="115"/>
    </row>
    <row r="171" spans="1:23" ht="36.75" customHeight="1">
      <c r="A171" s="568"/>
      <c r="B171" s="572"/>
      <c r="C171" s="572"/>
      <c r="D171" s="124" t="s">
        <v>85</v>
      </c>
      <c r="E171" s="124" t="s">
        <v>86</v>
      </c>
      <c r="F171" s="554"/>
      <c r="G171" s="556"/>
      <c r="H171" s="562" t="s">
        <v>87</v>
      </c>
      <c r="I171" s="563"/>
      <c r="J171" s="563"/>
      <c r="K171" s="563"/>
      <c r="L171" s="563"/>
      <c r="M171" s="563"/>
      <c r="N171" s="563"/>
      <c r="O171" s="563"/>
      <c r="P171" s="564"/>
      <c r="Q171" s="579">
        <f>SUM(H175:S175)</f>
        <v>0</v>
      </c>
      <c r="R171" s="580"/>
      <c r="S171" s="125"/>
      <c r="T171" s="581"/>
      <c r="U171" s="582"/>
      <c r="V171" s="102"/>
      <c r="W171" s="115"/>
    </row>
    <row r="172" spans="1:23" ht="38.25" customHeight="1">
      <c r="A172" s="568"/>
      <c r="B172" s="572"/>
      <c r="C172" s="126"/>
      <c r="D172" s="124" t="s">
        <v>89</v>
      </c>
      <c r="E172" s="124" t="s">
        <v>89</v>
      </c>
      <c r="F172" s="554"/>
      <c r="G172" s="127"/>
      <c r="H172" s="128" t="s">
        <v>90</v>
      </c>
      <c r="I172" s="129" t="s">
        <v>91</v>
      </c>
      <c r="J172" s="129" t="s">
        <v>92</v>
      </c>
      <c r="K172" s="130" t="s">
        <v>93</v>
      </c>
      <c r="L172" s="583" t="s">
        <v>94</v>
      </c>
      <c r="M172" s="583" t="s">
        <v>95</v>
      </c>
      <c r="N172" s="583" t="s">
        <v>96</v>
      </c>
      <c r="O172" s="585" t="s">
        <v>97</v>
      </c>
      <c r="P172" s="583" t="s">
        <v>98</v>
      </c>
      <c r="Q172" s="587" t="s">
        <v>99</v>
      </c>
      <c r="R172" s="589" t="s">
        <v>100</v>
      </c>
      <c r="S172" s="591" t="s">
        <v>101</v>
      </c>
      <c r="T172" s="581"/>
      <c r="U172" s="582"/>
      <c r="V172" s="102"/>
      <c r="W172" s="115"/>
    </row>
    <row r="173" spans="1:23" ht="30" customHeight="1">
      <c r="A173" s="568"/>
      <c r="B173" s="572"/>
      <c r="C173" s="131"/>
      <c r="D173" s="131"/>
      <c r="E173" s="131"/>
      <c r="F173" s="554"/>
      <c r="G173" s="127"/>
      <c r="H173" s="132" t="s">
        <v>103</v>
      </c>
      <c r="I173" s="133" t="s">
        <v>104</v>
      </c>
      <c r="J173" s="134">
        <v>0</v>
      </c>
      <c r="K173" s="135">
        <v>1</v>
      </c>
      <c r="L173" s="584"/>
      <c r="M173" s="584"/>
      <c r="N173" s="584"/>
      <c r="O173" s="586"/>
      <c r="P173" s="584"/>
      <c r="Q173" s="588"/>
      <c r="R173" s="590"/>
      <c r="S173" s="592"/>
      <c r="T173" s="581"/>
      <c r="U173" s="582"/>
      <c r="V173" s="102"/>
      <c r="W173" s="115"/>
    </row>
    <row r="174" spans="1:21" ht="51" customHeight="1">
      <c r="A174" s="568"/>
      <c r="B174" s="137">
        <f>G174</f>
        <v>0</v>
      </c>
      <c r="C174" s="137"/>
      <c r="D174" s="137"/>
      <c r="E174" s="138"/>
      <c r="F174" s="138"/>
      <c r="G174" s="139">
        <f>B$1*B199</f>
        <v>0</v>
      </c>
      <c r="H174" s="140">
        <f aca="true" t="shared" si="15" ref="H174:S174">IF(H175&gt;0,1,0)</f>
        <v>0</v>
      </c>
      <c r="I174" s="141">
        <f t="shared" si="15"/>
        <v>0</v>
      </c>
      <c r="J174" s="141">
        <f t="shared" si="15"/>
        <v>0</v>
      </c>
      <c r="K174" s="142">
        <f t="shared" si="15"/>
        <v>0</v>
      </c>
      <c r="L174" s="142">
        <f t="shared" si="15"/>
        <v>0</v>
      </c>
      <c r="M174" s="142">
        <f t="shared" si="15"/>
        <v>0</v>
      </c>
      <c r="N174" s="142">
        <f t="shared" si="15"/>
        <v>0</v>
      </c>
      <c r="O174" s="141">
        <f t="shared" si="15"/>
        <v>0</v>
      </c>
      <c r="P174" s="142">
        <f t="shared" si="15"/>
        <v>0</v>
      </c>
      <c r="Q174" s="142">
        <f t="shared" si="15"/>
        <v>0</v>
      </c>
      <c r="R174" s="143">
        <f t="shared" si="15"/>
        <v>0</v>
      </c>
      <c r="S174" s="144">
        <f t="shared" si="15"/>
        <v>0</v>
      </c>
      <c r="T174" s="593"/>
      <c r="U174" s="594"/>
    </row>
    <row r="175" spans="1:22" ht="49.5" customHeight="1" thickBot="1">
      <c r="A175" s="568"/>
      <c r="B175" s="595" t="s">
        <v>106</v>
      </c>
      <c r="C175" s="595" t="s">
        <v>107</v>
      </c>
      <c r="D175" s="596" t="s">
        <v>108</v>
      </c>
      <c r="E175" s="148" t="s">
        <v>109</v>
      </c>
      <c r="F175" s="149"/>
      <c r="G175" s="597" t="s">
        <v>110</v>
      </c>
      <c r="H175" s="150">
        <f>IF(B174+B178+B185+B187+C184+D178+F175&gt;0,IF(B190&gt;0,B190-(IF(E178+F178+G178+B182+C182+D182+E182+F182&gt;0,ROUND((B190/30)*IF(E178+F178+G178+B182+C182+D182+E182+F182&lt;31,E178+F178+G178+B182+C182+D182+E182+F182,30),2),0)+ROUND(((B190/G174)*(B178+B185+B187+C184+D178)),2)),0),0)+IF(B174&gt;G174,IF(B190&gt;0,(B174-G174)*B192,0),0)+IF(B191&gt;0,B191*B174,0)-IF(IF(B174+B178+B185+B187+C184+D178+F175&gt;0,IF(B190&gt;0,B190-(IF(E178+F178+G178+B182+C182+D182+E182+F182&gt;0,ROUND((B190/30)*IF(E178+F178+G178+B182+C182+D182+E182+F182&lt;31,E178+F178+G178+B182+C182+D182+E182+F182,30),2),0)+ROUND(((B190/G174)*(B178+B185+B187+C184+D178)),2)),0),0)&lt;0,IF(B174+B178+B185+B187+C184+D178+F175&gt;0,IF(B190&gt;0,B190-(IF(E178+F178+G178+B182+C182+D182+E182+F182&gt;0,ROUND((B190/30)*IF(E178+F178+G178+B182+C182+D182+E182+F182&lt;31,E178+F178+G178+B182+C182+D182+E182+F182,30),2),0)+ROUND(((B190/G174)*(B178+B185+B187+C184+D178)),2)),0),0),0)</f>
        <v>0</v>
      </c>
      <c r="I175" s="151">
        <f>ROUND(D174*ROUND(B192*150%,2)+E174*ROUND(B192*200%,2),2)</f>
        <v>0</v>
      </c>
      <c r="J175" s="151">
        <f>ROUND((J173*H175),2)</f>
        <v>0</v>
      </c>
      <c r="K175" s="151"/>
      <c r="L175" s="151">
        <f>IF(C174&gt;0,C174*ROUND(B192*U$3,2),0)+IF(U$3=0,IF(C174&gt;0,C174*ROUND(20%*ROUND(E$1/G174,2),2),0))</f>
        <v>0</v>
      </c>
      <c r="M175" s="151">
        <f>IF(B178&gt;0,ROUND((B178*C187),2),0)</f>
        <v>0</v>
      </c>
      <c r="N175" s="151">
        <f>IF(B174+D174+E174+F174&gt;0,ROUND((((H175+I175+J175+L175+O175)/(B174+D174+E174+F174))*D178),2),B192*D178)</f>
        <v>0</v>
      </c>
      <c r="O175" s="151">
        <f>ROUND((F174*B192),2)</f>
        <v>0</v>
      </c>
      <c r="P175" s="151">
        <f>IF(C178&gt;0,ROUND((D187/($I$1*8*B199)),2)*C178,0)</f>
        <v>0</v>
      </c>
      <c r="Q175" s="151"/>
      <c r="R175" s="152"/>
      <c r="S175" s="153">
        <f>IF(G192&gt;500,G192-500,0)+IF(F192&gt;190,F192-190,0)</f>
        <v>0</v>
      </c>
      <c r="T175" s="593"/>
      <c r="U175" s="594"/>
      <c r="V175" s="154"/>
    </row>
    <row r="176" spans="1:21" ht="57" customHeight="1">
      <c r="A176" s="568"/>
      <c r="B176" s="554"/>
      <c r="C176" s="554"/>
      <c r="D176" s="554"/>
      <c r="E176" s="599" t="s">
        <v>112</v>
      </c>
      <c r="F176" s="599"/>
      <c r="G176" s="598"/>
      <c r="H176" s="600" t="s">
        <v>113</v>
      </c>
      <c r="I176" s="601"/>
      <c r="J176" s="601"/>
      <c r="K176" s="601"/>
      <c r="L176" s="601"/>
      <c r="M176" s="602">
        <f>H181+I181+M177</f>
        <v>0</v>
      </c>
      <c r="N176" s="603"/>
      <c r="O176" s="604" t="s">
        <v>114</v>
      </c>
      <c r="P176" s="604"/>
      <c r="Q176" s="604"/>
      <c r="R176" s="604"/>
      <c r="S176" s="156">
        <f>S177+O181</f>
        <v>0</v>
      </c>
      <c r="T176" s="605"/>
      <c r="U176" s="606"/>
    </row>
    <row r="177" spans="1:21" ht="38.25" customHeight="1">
      <c r="A177" s="568"/>
      <c r="B177" s="157"/>
      <c r="C177" s="131"/>
      <c r="D177" s="131"/>
      <c r="E177" s="158">
        <v>0.8</v>
      </c>
      <c r="F177" s="158">
        <v>1</v>
      </c>
      <c r="G177" s="159">
        <v>0.8</v>
      </c>
      <c r="H177" s="607" t="s">
        <v>115</v>
      </c>
      <c r="I177" s="608"/>
      <c r="J177" s="609" t="s">
        <v>116</v>
      </c>
      <c r="K177" s="610"/>
      <c r="L177" s="610"/>
      <c r="M177" s="611">
        <f>SUM(J181:N181)</f>
        <v>0</v>
      </c>
      <c r="N177" s="612"/>
      <c r="O177" s="160" t="s">
        <v>117</v>
      </c>
      <c r="P177" s="613" t="s">
        <v>118</v>
      </c>
      <c r="Q177" s="614"/>
      <c r="R177" s="615"/>
      <c r="S177" s="161">
        <f>SUM(P181:S181)</f>
        <v>0</v>
      </c>
      <c r="T177" s="616"/>
      <c r="U177" s="617"/>
    </row>
    <row r="178" spans="1:21" ht="40.5" customHeight="1">
      <c r="A178" s="568"/>
      <c r="B178" s="137"/>
      <c r="C178" s="137"/>
      <c r="D178" s="137"/>
      <c r="E178" s="137"/>
      <c r="F178" s="137"/>
      <c r="G178" s="139"/>
      <c r="H178" s="618" t="s">
        <v>119</v>
      </c>
      <c r="I178" s="162"/>
      <c r="J178" s="620" t="s">
        <v>120</v>
      </c>
      <c r="K178" s="595" t="s">
        <v>121</v>
      </c>
      <c r="L178" s="595" t="s">
        <v>122</v>
      </c>
      <c r="M178" s="595" t="s">
        <v>123</v>
      </c>
      <c r="N178" s="163" t="s">
        <v>124</v>
      </c>
      <c r="O178" s="622" t="s">
        <v>125</v>
      </c>
      <c r="P178" s="624" t="s">
        <v>126</v>
      </c>
      <c r="Q178" s="584" t="s">
        <v>127</v>
      </c>
      <c r="R178" s="634" t="s">
        <v>128</v>
      </c>
      <c r="S178" s="633" t="s">
        <v>129</v>
      </c>
      <c r="T178" s="164"/>
      <c r="U178" s="165"/>
    </row>
    <row r="179" spans="1:21" ht="39.75" customHeight="1">
      <c r="A179" s="568"/>
      <c r="B179" s="571" t="s">
        <v>110</v>
      </c>
      <c r="C179" s="571" t="s">
        <v>130</v>
      </c>
      <c r="D179" s="571" t="s">
        <v>131</v>
      </c>
      <c r="E179" s="571" t="s">
        <v>132</v>
      </c>
      <c r="F179" s="571" t="s">
        <v>110</v>
      </c>
      <c r="G179" s="166" t="s">
        <v>133</v>
      </c>
      <c r="H179" s="619"/>
      <c r="I179" s="167"/>
      <c r="J179" s="621"/>
      <c r="K179" s="554"/>
      <c r="L179" s="554"/>
      <c r="M179" s="554"/>
      <c r="N179" s="168" t="s">
        <v>134</v>
      </c>
      <c r="O179" s="623"/>
      <c r="P179" s="624"/>
      <c r="Q179" s="584"/>
      <c r="R179" s="634"/>
      <c r="S179" s="633"/>
      <c r="T179" s="627">
        <f>I191-S192-P191</f>
        <v>0</v>
      </c>
      <c r="U179" s="628"/>
    </row>
    <row r="180" spans="1:21" ht="35.25" customHeight="1">
      <c r="A180" s="568"/>
      <c r="B180" s="572"/>
      <c r="C180" s="572"/>
      <c r="D180" s="572"/>
      <c r="E180" s="572"/>
      <c r="F180" s="572"/>
      <c r="G180" s="139"/>
      <c r="H180" s="169">
        <f aca="true" t="shared" si="16" ref="H180:M180">IF(H181&gt;0,1,0)</f>
        <v>0</v>
      </c>
      <c r="I180" s="170">
        <f t="shared" si="16"/>
        <v>0</v>
      </c>
      <c r="J180" s="171">
        <f t="shared" si="16"/>
        <v>0</v>
      </c>
      <c r="K180" s="172">
        <f t="shared" si="16"/>
        <v>0</v>
      </c>
      <c r="L180" s="173">
        <f t="shared" si="16"/>
        <v>0</v>
      </c>
      <c r="M180" s="173">
        <f t="shared" si="16"/>
        <v>0</v>
      </c>
      <c r="N180" s="174">
        <v>0</v>
      </c>
      <c r="O180" s="175">
        <f>IF(O181&gt;0,1,0)</f>
        <v>0</v>
      </c>
      <c r="P180" s="171">
        <f>IF(P181&gt;0,1,0)</f>
        <v>0</v>
      </c>
      <c r="Q180" s="173">
        <f>IF(Q181&gt;0,1,0)</f>
        <v>0</v>
      </c>
      <c r="R180" s="173">
        <f>IF(R181&gt;0,1,0)</f>
        <v>0</v>
      </c>
      <c r="S180" s="176">
        <f>IF(S181&gt;0,1,0)</f>
        <v>0</v>
      </c>
      <c r="T180" s="627"/>
      <c r="U180" s="628"/>
    </row>
    <row r="181" spans="1:21" ht="36" customHeight="1" thickBot="1">
      <c r="A181" s="568"/>
      <c r="B181" s="177">
        <v>1</v>
      </c>
      <c r="C181" s="177">
        <v>0.8</v>
      </c>
      <c r="D181" s="572"/>
      <c r="E181" s="572"/>
      <c r="F181" s="177">
        <v>0.7</v>
      </c>
      <c r="G181" s="178">
        <v>0</v>
      </c>
      <c r="H181" s="179">
        <f>IF(E178&gt;0,ROUND((C192*E177),2)*E178,0)+IF(F178&gt;0,C192*F178,0)</f>
        <v>0</v>
      </c>
      <c r="I181" s="180"/>
      <c r="J181" s="181">
        <f>IF(G174&gt;0,IF(B174&gt;=G174,E187-((E187/22)*F187),(E187-(ROUND(((E187/22)*(((G174-B174)/8*B199)+F187)),2))))-IF(B174=0,0,0)-IF(B174&lt;=F187*8*B199,E187-ROUND(((E187/22)*(((G174-B174)/8*B199)+F187)),2),0),0)</f>
        <v>0</v>
      </c>
      <c r="K181" s="182">
        <f>G190-R181</f>
        <v>0</v>
      </c>
      <c r="L181" s="182">
        <f>IF(F192&gt;0,IF(F192&lt;190,F192,190),0)</f>
        <v>0</v>
      </c>
      <c r="M181" s="182"/>
      <c r="N181" s="183">
        <f>IF(N180&gt;0,L$3*B199*N180,0)</f>
        <v>0</v>
      </c>
      <c r="O181" s="184">
        <f>IF(C199&lt;=$P$2,IF(G192&gt;0,IF(G192&lt;500,G192,500),0),0)</f>
        <v>0</v>
      </c>
      <c r="P181" s="181">
        <f>IF(G187&gt;0,ROUND(((G187/G174)*B174),2),0)+G186</f>
        <v>0</v>
      </c>
      <c r="Q181" s="182">
        <f>IF(F185&gt;0,ROUND((F185/G174)*B174,2),0)</f>
        <v>0</v>
      </c>
      <c r="R181" s="182">
        <f>IF(G190&gt;0,IF(G190&lt;380,G190,380),0)</f>
        <v>0</v>
      </c>
      <c r="S181" s="185"/>
      <c r="T181" s="627"/>
      <c r="U181" s="628"/>
    </row>
    <row r="182" spans="1:21" ht="60" customHeight="1" thickBot="1" thickTop="1">
      <c r="A182" s="568"/>
      <c r="B182" s="137"/>
      <c r="C182" s="137"/>
      <c r="D182" s="137"/>
      <c r="E182" s="137"/>
      <c r="F182" s="137"/>
      <c r="G182" s="139">
        <f>IF(L170+L183-Q181-P181-K191-J181&gt;$F$1,IF(G181&gt;0,IF(((H191-S192-L197-L191-J181-K181-L181-O194+P199)*(100%-G181))&gt;=(($F$1*B199)-IF(ROUND(((ROUND(($F$1-C199),0.1)*E199)-D199),0.1)&gt;0,ROUND(((ROUND(($F$1-C199),0.1)*E199)-D199),0.1),0)),((H191-S192-L197-L191-J181-K181-L181-O194+P199)*G181)))+IF(G181&gt;0,IF(((H191-S192-L197-L191-J181-K181-L181-O194+P199)*(100%-G181))&lt;(($F$1*B199)-IF(ROUND(((ROUND(($F$1-C199),0.1)*E199)-D199),0.1)&gt;0,ROUND(((ROUND(($F$1-C199),0.1)*E199)-D199),0.1),0)),(H191-S192-L197-L191-J181-K181-L181-O194+P199)-(($F$1*B199)-IF(ROUND(((ROUND(($F$1-C199),0.1)*E199)-D199),0.1)&gt;0,ROUND(((ROUND(($F$1-C199),0.1)*E199)-D199),0.1),0)))),0)</f>
        <v>0</v>
      </c>
      <c r="H182" s="629" t="s">
        <v>135</v>
      </c>
      <c r="I182" s="630"/>
      <c r="J182" s="630"/>
      <c r="K182" s="575">
        <f>L183+P182</f>
        <v>0</v>
      </c>
      <c r="L182" s="576"/>
      <c r="M182" s="631" t="s">
        <v>136</v>
      </c>
      <c r="N182" s="632"/>
      <c r="O182" s="632"/>
      <c r="P182" s="575">
        <f>P183+S183</f>
        <v>0</v>
      </c>
      <c r="Q182" s="575"/>
      <c r="R182" s="186"/>
      <c r="S182" s="186"/>
      <c r="T182" s="187">
        <v>200</v>
      </c>
      <c r="U182" s="188">
        <f>ROUND(((1400/'[1]Li-pł zlec'!$V$1)*'[1]LI-PŁ-prac'!T182),2)+((H181+L183)-ROUND(((H181+L183)*$N$3),2))+O184+P184+P186+R186+S186-O191-L191-M191</f>
        <v>1750</v>
      </c>
    </row>
    <row r="183" spans="1:21" ht="119.25" customHeight="1">
      <c r="A183" s="568"/>
      <c r="B183" s="189" t="s">
        <v>137</v>
      </c>
      <c r="C183" s="190" t="s">
        <v>138</v>
      </c>
      <c r="D183" s="595" t="s">
        <v>139</v>
      </c>
      <c r="E183" s="649" t="s">
        <v>307</v>
      </c>
      <c r="F183" s="191" t="s">
        <v>140</v>
      </c>
      <c r="G183" s="192" t="s">
        <v>141</v>
      </c>
      <c r="H183" s="651" t="s">
        <v>142</v>
      </c>
      <c r="I183" s="652"/>
      <c r="J183" s="652"/>
      <c r="K183" s="652"/>
      <c r="L183" s="193">
        <f>SUM(H186:L186)</f>
        <v>0</v>
      </c>
      <c r="M183" s="625"/>
      <c r="N183" s="626"/>
      <c r="O183" s="626"/>
      <c r="P183" s="193"/>
      <c r="Q183" s="635"/>
      <c r="R183" s="636"/>
      <c r="S183" s="194"/>
      <c r="T183" s="637"/>
      <c r="U183" s="638"/>
    </row>
    <row r="184" spans="1:21" ht="141" customHeight="1" thickBot="1">
      <c r="A184" s="568"/>
      <c r="B184" s="195" t="s">
        <v>143</v>
      </c>
      <c r="C184" s="196"/>
      <c r="D184" s="554"/>
      <c r="E184" s="650"/>
      <c r="F184" s="197">
        <f>IF(F185&gt;0,1,0)</f>
        <v>0</v>
      </c>
      <c r="G184" s="155" t="s">
        <v>308</v>
      </c>
      <c r="H184" s="198" t="s">
        <v>144</v>
      </c>
      <c r="I184" s="199" t="s">
        <v>145</v>
      </c>
      <c r="J184" s="199" t="s">
        <v>146</v>
      </c>
      <c r="K184" s="199" t="s">
        <v>147</v>
      </c>
      <c r="L184" s="200" t="s">
        <v>148</v>
      </c>
      <c r="M184" s="201"/>
      <c r="N184" s="202"/>
      <c r="O184" s="203"/>
      <c r="P184" s="204"/>
      <c r="Q184" s="205"/>
      <c r="R184" s="206"/>
      <c r="S184" s="207"/>
      <c r="T184" s="637"/>
      <c r="U184" s="638"/>
    </row>
    <row r="185" spans="1:21" ht="51.75" customHeight="1">
      <c r="A185" s="568"/>
      <c r="B185" s="208"/>
      <c r="C185" s="595" t="s">
        <v>149</v>
      </c>
      <c r="D185" s="554"/>
      <c r="E185" s="209"/>
      <c r="F185" s="210">
        <f>IF(T171&gt;0,$H$3,0)</f>
        <v>0</v>
      </c>
      <c r="G185" s="211">
        <f>IF(G186+G187&gt;0,1,0)</f>
        <v>0</v>
      </c>
      <c r="H185" s="212">
        <f>IF(H186&gt;0,1,0)</f>
        <v>0</v>
      </c>
      <c r="I185" s="213">
        <f>IF(I186&gt;0,1,0)</f>
        <v>0</v>
      </c>
      <c r="J185" s="213">
        <f>IF(J186&gt;0,1,0)</f>
        <v>0</v>
      </c>
      <c r="K185" s="213">
        <f>IF(K186&gt;0,1,0)</f>
        <v>0</v>
      </c>
      <c r="L185" s="214">
        <f>IF(L186&gt;0,1,0)</f>
        <v>0</v>
      </c>
      <c r="M185" s="639" t="s">
        <v>150</v>
      </c>
      <c r="N185" s="640"/>
      <c r="O185" s="641"/>
      <c r="P185" s="642"/>
      <c r="Q185" s="215"/>
      <c r="R185" s="216"/>
      <c r="S185" s="217"/>
      <c r="T185" s="643"/>
      <c r="U185" s="644"/>
    </row>
    <row r="186" spans="1:21" ht="60.75" customHeight="1" thickBot="1">
      <c r="A186" s="568"/>
      <c r="B186" s="218" t="s">
        <v>151</v>
      </c>
      <c r="C186" s="554"/>
      <c r="D186" s="131"/>
      <c r="E186" s="219">
        <f>IF(E185&gt;0,C$3,0)</f>
        <v>0</v>
      </c>
      <c r="F186" s="220" t="s">
        <v>152</v>
      </c>
      <c r="G186" s="221"/>
      <c r="H186" s="179">
        <f>IF(G178&gt;0,(ROUND((C192*G177),2)*G178),0)+IF(B182&gt;0,(ROUND((C192*B181),2)*B182),0)+IF(F182&gt;0,(ROUND((C192*F181),2)*F182),0)</f>
        <v>0</v>
      </c>
      <c r="I186" s="182">
        <f>IF(E182&gt;0,(ROUND(((D192*D191)/30),2)*E182),0)</f>
        <v>0</v>
      </c>
      <c r="J186" s="182">
        <f>IF(C182&gt;0,(ROUND(C192*C181,2)*C182),0)</f>
        <v>0</v>
      </c>
      <c r="K186" s="182">
        <f>IF(D182&gt;0,(ROUND(C192,2)*D182),0)</f>
        <v>0</v>
      </c>
      <c r="L186" s="222">
        <f>E192</f>
        <v>0</v>
      </c>
      <c r="M186" s="645">
        <f>Q171+M176+L183</f>
        <v>0</v>
      </c>
      <c r="N186" s="646"/>
      <c r="O186" s="202"/>
      <c r="P186" s="223"/>
      <c r="Q186" s="224"/>
      <c r="R186" s="182"/>
      <c r="S186" s="185"/>
      <c r="T186" s="695" t="s">
        <v>153</v>
      </c>
      <c r="U186" s="696"/>
    </row>
    <row r="187" spans="1:21" ht="41.25" customHeight="1" thickTop="1">
      <c r="A187" s="568"/>
      <c r="B187" s="208"/>
      <c r="C187" s="208"/>
      <c r="D187" s="208"/>
      <c r="E187" s="203">
        <f>ROUND((E185*E186),2)</f>
        <v>0</v>
      </c>
      <c r="F187" s="225"/>
      <c r="G187" s="226"/>
      <c r="H187" s="653" t="s">
        <v>309</v>
      </c>
      <c r="I187" s="655" t="s">
        <v>154</v>
      </c>
      <c r="J187" s="657" t="s">
        <v>155</v>
      </c>
      <c r="K187" s="660" t="s">
        <v>156</v>
      </c>
      <c r="L187" s="661" t="s">
        <v>157</v>
      </c>
      <c r="M187" s="661"/>
      <c r="N187" s="661"/>
      <c r="O187" s="662"/>
      <c r="P187" s="663" t="s">
        <v>158</v>
      </c>
      <c r="Q187" s="227" t="s">
        <v>159</v>
      </c>
      <c r="R187" s="228" t="s">
        <v>160</v>
      </c>
      <c r="S187" s="229" t="s">
        <v>161</v>
      </c>
      <c r="T187" s="695" t="s">
        <v>162</v>
      </c>
      <c r="U187" s="696"/>
    </row>
    <row r="188" spans="1:21" ht="92.25" customHeight="1">
      <c r="A188" s="568"/>
      <c r="B188" s="664" t="s">
        <v>163</v>
      </c>
      <c r="C188" s="117" t="s">
        <v>164</v>
      </c>
      <c r="D188" s="337" t="s">
        <v>165</v>
      </c>
      <c r="E188" s="146" t="s">
        <v>166</v>
      </c>
      <c r="F188" s="697" t="s">
        <v>167</v>
      </c>
      <c r="G188" s="191" t="s">
        <v>168</v>
      </c>
      <c r="H188" s="654"/>
      <c r="I188" s="656"/>
      <c r="J188" s="658"/>
      <c r="K188" s="584"/>
      <c r="L188" s="232" t="s">
        <v>169</v>
      </c>
      <c r="M188" s="123" t="s">
        <v>170</v>
      </c>
      <c r="N188" s="136" t="s">
        <v>171</v>
      </c>
      <c r="O188" s="136" t="s">
        <v>172</v>
      </c>
      <c r="P188" s="556"/>
      <c r="Q188" s="233">
        <f>ROUND(IF(S193&gt;$N$4,IF(S193&lt;=$O$4,7866.25+((S193-$N$4)*$O$3)),0)+IF(S193&gt;$O$4,20177.65+((S193-$O$4)*$P$3),0)+IF(S193&lt;=$N$4,IF(S193*E199&gt;0,S193*E199),0),0.1)</f>
        <v>0</v>
      </c>
      <c r="R188" s="234">
        <f>IF(L183&gt;0,ROUND((ROUND((L183),0.1)*E199),0.1),0)</f>
        <v>0</v>
      </c>
      <c r="S188" s="235">
        <f>IF(Q188+R188-D199&gt;=0,Q188+R188-D199,0)+IF(D199-Q188+R188&gt;0&lt;D199+0.001,Q188+R188-D199,0)</f>
        <v>0</v>
      </c>
      <c r="T188" s="695" t="s">
        <v>173</v>
      </c>
      <c r="U188" s="696"/>
    </row>
    <row r="189" spans="1:21" ht="36.75" customHeight="1">
      <c r="A189" s="568"/>
      <c r="B189" s="665"/>
      <c r="C189" s="230"/>
      <c r="D189" s="236"/>
      <c r="E189" s="237"/>
      <c r="F189" s="698"/>
      <c r="G189" s="239" t="s">
        <v>310</v>
      </c>
      <c r="H189" s="654"/>
      <c r="I189" s="656"/>
      <c r="J189" s="658"/>
      <c r="K189" s="584"/>
      <c r="L189" s="123"/>
      <c r="M189" s="240"/>
      <c r="N189" s="241"/>
      <c r="O189" s="136"/>
      <c r="P189" s="556"/>
      <c r="Q189" s="668" t="s">
        <v>174</v>
      </c>
      <c r="R189" s="669"/>
      <c r="S189" s="235">
        <f>ROUND(IF(S188&gt;=L199,S188-L199,0),0.1)</f>
        <v>0</v>
      </c>
      <c r="T189" s="338" t="str">
        <f>L$8</f>
        <v>styczeń</v>
      </c>
      <c r="U189" s="339" t="str">
        <f>N$8</f>
        <v>2011 r.</v>
      </c>
    </row>
    <row r="190" spans="1:21" ht="48" customHeight="1">
      <c r="A190" s="568"/>
      <c r="B190" s="244">
        <f>IF(B191=0,IF(T171&gt;0,IF(T176&gt;0,IF(T176="I kl",O$1)+IF(T176="II kl",P$1)+IF(T176="III kl",Q$1),ROUND((E$1*B199),2)),0),0)</f>
        <v>0</v>
      </c>
      <c r="C190" s="118" t="s">
        <v>175</v>
      </c>
      <c r="D190" s="123" t="s">
        <v>176</v>
      </c>
      <c r="E190" s="245"/>
      <c r="F190" s="698"/>
      <c r="G190" s="139"/>
      <c r="H190" s="246">
        <f>IF(H191&gt;0,1,0)</f>
        <v>0</v>
      </c>
      <c r="I190" s="247">
        <f>IF(I191&gt;0,1,0)</f>
        <v>0</v>
      </c>
      <c r="J190" s="658"/>
      <c r="K190" s="248">
        <f aca="true" t="shared" si="17" ref="K190:P190">IF(K191&gt;0,1,0)</f>
        <v>0</v>
      </c>
      <c r="L190" s="249">
        <f t="shared" si="17"/>
        <v>0</v>
      </c>
      <c r="M190" s="250">
        <f t="shared" si="17"/>
        <v>0</v>
      </c>
      <c r="N190" s="249">
        <f t="shared" si="17"/>
        <v>0</v>
      </c>
      <c r="O190" s="251">
        <f t="shared" si="17"/>
        <v>0</v>
      </c>
      <c r="P190" s="252">
        <f t="shared" si="17"/>
        <v>0</v>
      </c>
      <c r="Q190" s="670" t="s">
        <v>177</v>
      </c>
      <c r="R190" s="253" t="s">
        <v>178</v>
      </c>
      <c r="S190" s="235">
        <v>0</v>
      </c>
      <c r="T190" s="647" t="s">
        <v>179</v>
      </c>
      <c r="U190" s="648"/>
    </row>
    <row r="191" spans="1:21" ht="57.75" customHeight="1" thickBot="1">
      <c r="A191" s="568"/>
      <c r="B191" s="254"/>
      <c r="C191" s="230"/>
      <c r="D191" s="177">
        <v>0.9</v>
      </c>
      <c r="E191" s="255">
        <f>IF(E189&gt;0,$U$1-E190,0)</f>
        <v>0</v>
      </c>
      <c r="F191" s="238">
        <f>IF(F192&gt;0,1,0)</f>
        <v>0</v>
      </c>
      <c r="G191" s="256" t="s">
        <v>180</v>
      </c>
      <c r="H191" s="257">
        <f>P170+L183-P199</f>
        <v>0</v>
      </c>
      <c r="I191" s="233">
        <f>L170+K182</f>
        <v>0</v>
      </c>
      <c r="J191" s="659"/>
      <c r="K191" s="244">
        <f>S175+K181+L181+O181+R181+O194+L197-N191</f>
        <v>0</v>
      </c>
      <c r="L191" s="244"/>
      <c r="M191" s="244">
        <f>G180+IF(G182&gt;0,G182,0)</f>
        <v>0</v>
      </c>
      <c r="N191" s="244">
        <f>L197-L199</f>
        <v>0</v>
      </c>
      <c r="O191" s="244"/>
      <c r="P191" s="258">
        <f>SUM(K191:O191)</f>
        <v>0</v>
      </c>
      <c r="Q191" s="671"/>
      <c r="R191" s="259" t="s">
        <v>181</v>
      </c>
      <c r="S191" s="235">
        <v>0</v>
      </c>
      <c r="T191" s="647" t="s">
        <v>182</v>
      </c>
      <c r="U191" s="648"/>
    </row>
    <row r="192" spans="1:21" ht="45.75" customHeight="1" thickBot="1" thickTop="1">
      <c r="A192" s="569"/>
      <c r="B192" s="244">
        <f>IF(B191=0,ROUND(IF(B190&gt;0,CEILING((B190/G174),0.01),B191),2),B191)</f>
        <v>0</v>
      </c>
      <c r="C192" s="244">
        <f>IF(T171&gt;0,(IF(C189&gt;0,ROUND(((C189-(C189*(B195+C195+D195)))/30),2),0)+IF(C191&gt;0,ROUND((C191/30),2),0))+(IF(IF(C189&gt;0,ROUND(((C189-(C189*(B195+C195+D195)))/30),2),0)+IF(C191&gt;0,ROUND((C191/30),2),0)&lt;ROUND((($F$1*B199)/30),2),(IF(C189+C191&gt;0,ROUND((($F$1*B199)/30),2)-(IF(C189&gt;0,ROUND(((C189-(C189*(B195+C195+D195)))/30),2),0)+IF(C191&gt;0,ROUND((C191/30),2),0)))),0)),0)</f>
        <v>0</v>
      </c>
      <c r="D192" s="244"/>
      <c r="E192" s="244">
        <f>IF(E191&gt;0,IF(ROUND(E189-((E189/30)*E190),2)-H194+O194&gt;0,ROUND(E189-((E189/30)*E190),2)-H194+O194,0),0)</f>
        <v>0</v>
      </c>
      <c r="F192" s="137"/>
      <c r="G192" s="139"/>
      <c r="H192" s="672" t="s">
        <v>183</v>
      </c>
      <c r="I192" s="673"/>
      <c r="J192" s="673"/>
      <c r="K192" s="673"/>
      <c r="L192" s="673"/>
      <c r="M192" s="674" t="s">
        <v>184</v>
      </c>
      <c r="N192" s="675"/>
      <c r="O192" s="260" t="s">
        <v>185</v>
      </c>
      <c r="P192" s="261" t="s">
        <v>186</v>
      </c>
      <c r="Q192" s="676" t="s">
        <v>187</v>
      </c>
      <c r="R192" s="677"/>
      <c r="S192" s="262">
        <f>ROUND((IF(S189-S190&gt;=0,S189-S190,0)+S191),0.1)</f>
        <v>0</v>
      </c>
      <c r="T192" s="263" t="str">
        <f>L$8</f>
        <v>styczeń</v>
      </c>
      <c r="U192" s="264" t="str">
        <f>N$8</f>
        <v>2011 r.</v>
      </c>
    </row>
    <row r="193" spans="1:21" ht="69.75" customHeight="1" thickBot="1" thickTop="1">
      <c r="A193" s="568"/>
      <c r="B193" s="699" t="s">
        <v>188</v>
      </c>
      <c r="C193" s="700"/>
      <c r="D193" s="700"/>
      <c r="E193" s="701"/>
      <c r="F193" s="265" t="s">
        <v>189</v>
      </c>
      <c r="G193" s="266" t="s">
        <v>190</v>
      </c>
      <c r="H193" s="267" t="s">
        <v>191</v>
      </c>
      <c r="I193" s="268" t="s">
        <v>192</v>
      </c>
      <c r="J193" s="269" t="s">
        <v>193</v>
      </c>
      <c r="K193" s="238" t="s">
        <v>194</v>
      </c>
      <c r="L193" s="270" t="s">
        <v>195</v>
      </c>
      <c r="M193" s="198" t="s">
        <v>196</v>
      </c>
      <c r="N193" s="271" t="s">
        <v>197</v>
      </c>
      <c r="O193" s="294" t="s">
        <v>198</v>
      </c>
      <c r="P193" s="273" t="s">
        <v>199</v>
      </c>
      <c r="Q193" s="340" t="s">
        <v>200</v>
      </c>
      <c r="R193" s="275" t="s">
        <v>201</v>
      </c>
      <c r="S193" s="276">
        <f>IF(ROUND((P170-P199-C199),0.1)&gt;0,ROUND((P170-P199-C199),0.1),0)</f>
        <v>0</v>
      </c>
      <c r="T193" s="277"/>
      <c r="U193" s="278"/>
    </row>
    <row r="194" spans="1:21" ht="81" customHeight="1" thickTop="1">
      <c r="A194" s="568"/>
      <c r="B194" s="279" t="s">
        <v>202</v>
      </c>
      <c r="C194" s="279" t="s">
        <v>203</v>
      </c>
      <c r="D194" s="279" t="s">
        <v>204</v>
      </c>
      <c r="E194" s="279" t="s">
        <v>205</v>
      </c>
      <c r="F194" s="279" t="s">
        <v>206</v>
      </c>
      <c r="G194" s="280">
        <f>ROUND((H194*G196),2)</f>
        <v>0</v>
      </c>
      <c r="H194" s="281">
        <f>Q171+O181</f>
        <v>0</v>
      </c>
      <c r="I194" s="282">
        <f>Q171+O181</f>
        <v>0</v>
      </c>
      <c r="J194" s="282">
        <f>Q171+O181</f>
        <v>0</v>
      </c>
      <c r="K194" s="282">
        <f>Q171+O181</f>
        <v>0</v>
      </c>
      <c r="L194" s="283">
        <f>Q171+H181+I181-O194+O181</f>
        <v>0</v>
      </c>
      <c r="M194" s="284">
        <f>IF(D189&gt;0,IF(D189&lt;$U$1,ROUND((($E$1/$U$1)*D189),2),$E$1))+IF(K186&gt;0,K186,0)</f>
        <v>0</v>
      </c>
      <c r="N194" s="285">
        <f>M194</f>
        <v>0</v>
      </c>
      <c r="O194" s="286">
        <f>SUM(H197:J197)</f>
        <v>0</v>
      </c>
      <c r="P194" s="287">
        <f>IF(P195&gt;0,1,0)</f>
        <v>0</v>
      </c>
      <c r="Q194" s="288">
        <f>ROUND((H194-O181-P199+H181+I181)*$R$3,2)</f>
        <v>0</v>
      </c>
      <c r="R194" s="681" t="s">
        <v>207</v>
      </c>
      <c r="S194" s="683" t="s">
        <v>311</v>
      </c>
      <c r="T194" s="289"/>
      <c r="U194" s="278"/>
    </row>
    <row r="195" spans="1:21" ht="38.25" customHeight="1">
      <c r="A195" s="568"/>
      <c r="B195" s="158">
        <f>IF(H194&gt;0,B$2,0)</f>
        <v>0</v>
      </c>
      <c r="C195" s="158">
        <f>IF(I194&gt;0,H$4,0)</f>
        <v>0</v>
      </c>
      <c r="D195" s="158">
        <f>IF(J194&gt;0,F$2,0)</f>
        <v>0</v>
      </c>
      <c r="E195" s="158" t="s">
        <v>208</v>
      </c>
      <c r="F195" s="290" t="s">
        <v>209</v>
      </c>
      <c r="G195" s="291">
        <v>0</v>
      </c>
      <c r="H195" s="685" t="s">
        <v>210</v>
      </c>
      <c r="I195" s="686"/>
      <c r="J195" s="686"/>
      <c r="K195" s="686"/>
      <c r="L195" s="686"/>
      <c r="M195" s="292" t="s">
        <v>211</v>
      </c>
      <c r="N195" s="293" t="s">
        <v>212</v>
      </c>
      <c r="O195" s="294" t="s">
        <v>213</v>
      </c>
      <c r="P195" s="52">
        <f>IF(I194&lt;$E$1,IF(B199=1,IF(T176=0,ROUND((I194*$L$2),2),0),0),ROUND((I194*$L$2),2))</f>
        <v>0</v>
      </c>
      <c r="Q195" s="295" t="s">
        <v>214</v>
      </c>
      <c r="R195" s="682"/>
      <c r="S195" s="684"/>
      <c r="T195" s="289"/>
      <c r="U195" s="278"/>
    </row>
    <row r="196" spans="1:21" ht="42.75" customHeight="1" thickBot="1">
      <c r="A196" s="568"/>
      <c r="B196" s="158">
        <f>IF(H194&gt;0,B$2,0)</f>
        <v>0</v>
      </c>
      <c r="C196" s="158">
        <f>IF(I194&gt;0,D$2,0)</f>
        <v>0</v>
      </c>
      <c r="D196" s="158" t="s">
        <v>208</v>
      </c>
      <c r="E196" s="158">
        <f>IF(K194&gt;0,H$2,0)</f>
        <v>0</v>
      </c>
      <c r="F196" s="158">
        <f>IF(L194&gt;0,J$2,0)</f>
        <v>0</v>
      </c>
      <c r="G196" s="158">
        <f>IF(G195&gt;0,L$1,0)</f>
        <v>0</v>
      </c>
      <c r="H196" s="296" t="s">
        <v>215</v>
      </c>
      <c r="I196" s="297" t="s">
        <v>215</v>
      </c>
      <c r="J196" s="297" t="s">
        <v>215</v>
      </c>
      <c r="K196" s="298" t="s">
        <v>209</v>
      </c>
      <c r="L196" s="299" t="s">
        <v>215</v>
      </c>
      <c r="M196" s="300">
        <f>ROUND(M194*(B$2+B$2),2)</f>
        <v>0</v>
      </c>
      <c r="N196" s="301">
        <f>ROUND(N194*(D$2+H$4),2)</f>
        <v>0</v>
      </c>
      <c r="O196" s="302">
        <f>H199+I199+K199+G194</f>
        <v>0</v>
      </c>
      <c r="P196" s="303" t="s">
        <v>216</v>
      </c>
      <c r="Q196" s="304">
        <f>ROUND((L194*J$2),2)</f>
        <v>0</v>
      </c>
      <c r="R196" s="305" t="s">
        <v>217</v>
      </c>
      <c r="S196" s="684"/>
      <c r="T196" s="289"/>
      <c r="U196" s="278"/>
    </row>
    <row r="197" spans="1:21" ht="53.25" customHeight="1" thickBot="1" thickTop="1">
      <c r="A197" s="568"/>
      <c r="B197" s="141">
        <f>IF(B195+B196&gt;0,1,0)</f>
        <v>0</v>
      </c>
      <c r="C197" s="141">
        <f>IF(C195+C196&gt;0,1,0)</f>
        <v>0</v>
      </c>
      <c r="D197" s="141">
        <f>IF(D195&gt;0,1,0)</f>
        <v>0</v>
      </c>
      <c r="E197" s="141">
        <f>IF(E196&gt;0,1,0)</f>
        <v>0</v>
      </c>
      <c r="F197" s="141">
        <f>IF(F196&gt;0,1,0)</f>
        <v>0</v>
      </c>
      <c r="G197" s="141">
        <f>IF(G196&gt;0,1,0)</f>
        <v>0</v>
      </c>
      <c r="H197" s="306">
        <f>ROUND(H194*B195,2)</f>
        <v>0</v>
      </c>
      <c r="I197" s="307">
        <f>ROUND(I194*C195,2)</f>
        <v>0</v>
      </c>
      <c r="J197" s="307">
        <f>ROUND(J194*D195,2)</f>
        <v>0</v>
      </c>
      <c r="K197" s="244" t="s">
        <v>209</v>
      </c>
      <c r="L197" s="307">
        <f>IF(S188&gt;=ROUND(L194*F196,2),ROUND(L194*F196,2),S188)</f>
        <v>0</v>
      </c>
      <c r="M197" s="687" t="s">
        <v>218</v>
      </c>
      <c r="N197" s="688"/>
      <c r="O197" s="689" t="s">
        <v>219</v>
      </c>
      <c r="P197" s="308">
        <f>IF(P198&gt;0,1,0)</f>
        <v>0</v>
      </c>
      <c r="Q197" s="309" t="s">
        <v>220</v>
      </c>
      <c r="R197" s="310">
        <f>IF(B174=G174,H175+I175+J175+L175+O175+R175+IF(K175&gt;0,ROUND((K175/K173),2),0),0)+IF(B174&lt;G174,IF(B174&gt;0,ROUND((((H175+J175)/B174)*(G174-B187)),2)+IF(K175&gt;0,ROUND((K175/K173),2),0)+I175+L175+O175+R175,0),0)</f>
        <v>0</v>
      </c>
      <c r="S197" s="235">
        <f>IF(S189-S190&lt;0,S190-S189,0)</f>
        <v>0</v>
      </c>
      <c r="T197" s="289"/>
      <c r="U197" s="278"/>
    </row>
    <row r="198" spans="1:22" ht="63" customHeight="1" thickBot="1" thickTop="1">
      <c r="A198" s="568"/>
      <c r="B198" s="311" t="s">
        <v>221</v>
      </c>
      <c r="C198" s="311" t="s">
        <v>222</v>
      </c>
      <c r="D198" s="311" t="s">
        <v>34</v>
      </c>
      <c r="E198" s="146" t="s">
        <v>223</v>
      </c>
      <c r="F198" s="312" t="s">
        <v>224</v>
      </c>
      <c r="G198" s="139">
        <f>IF(Q194&gt;Q188,Q194-Q188,0)</f>
        <v>0</v>
      </c>
      <c r="H198" s="313" t="s">
        <v>225</v>
      </c>
      <c r="I198" s="314" t="s">
        <v>225</v>
      </c>
      <c r="J198" s="298" t="s">
        <v>209</v>
      </c>
      <c r="K198" s="315" t="s">
        <v>225</v>
      </c>
      <c r="L198" s="316" t="s">
        <v>226</v>
      </c>
      <c r="M198" s="317" t="s">
        <v>227</v>
      </c>
      <c r="N198" s="318" t="s">
        <v>228</v>
      </c>
      <c r="O198" s="690"/>
      <c r="P198" s="319">
        <f>ROUND(N$2*H194,2)</f>
        <v>0</v>
      </c>
      <c r="Q198" s="320">
        <f>IF(D189&gt;0,$U$2,0)</f>
        <v>0</v>
      </c>
      <c r="R198" s="321" t="s">
        <v>229</v>
      </c>
      <c r="S198" s="322" t="s">
        <v>230</v>
      </c>
      <c r="T198" s="691" t="s">
        <v>231</v>
      </c>
      <c r="U198" s="702"/>
      <c r="V198" s="323">
        <f>IF(ISBLANK(AM170),0,IF(IF(AF185&gt;=AI$2,AI$2,AF185)&gt;0,IF(AF185&gt;=AI$2,AI$2,AF185),0))</f>
        <v>0</v>
      </c>
    </row>
    <row r="199" spans="1:22" ht="42" customHeight="1" thickBot="1" thickTop="1">
      <c r="A199" s="570"/>
      <c r="B199" s="324">
        <f>IF(ISBLANK(T171),0,1)</f>
        <v>0</v>
      </c>
      <c r="C199" s="324">
        <f>IF(ISBLANK(T171),0,IF(IF(M186&gt;=P$2,P$2,M186)&gt;0,IF(M186&gt;=P$2,P$2,M186),0))</f>
        <v>0</v>
      </c>
      <c r="D199" s="324">
        <f>IF(ISBLANK(T171),0,S$1)</f>
        <v>0</v>
      </c>
      <c r="E199" s="325">
        <f>IF(G174&gt;0,$N$3,0)</f>
        <v>0</v>
      </c>
      <c r="F199" s="326">
        <f>O194+O196+P195+P198+L197+S192</f>
        <v>0</v>
      </c>
      <c r="G199" s="327">
        <f>IF(G198&gt;0,1,0)</f>
        <v>0</v>
      </c>
      <c r="H199" s="328">
        <f>ROUND(H194*B195,2)</f>
        <v>0</v>
      </c>
      <c r="I199" s="329">
        <f>ROUND(I194*C196,2)</f>
        <v>0</v>
      </c>
      <c r="J199" s="182" t="s">
        <v>209</v>
      </c>
      <c r="K199" s="330">
        <f>ROUND(K194*E196,2)</f>
        <v>0</v>
      </c>
      <c r="L199" s="185">
        <f>IF(S188&gt;=ROUND((H194-O181-P199+H181+I181)*$R$3,2),ROUND((H194-O181-P199+H181+I181)*$R$3,2),S188)</f>
        <v>0</v>
      </c>
      <c r="M199" s="179">
        <f>O194+O196</f>
        <v>0</v>
      </c>
      <c r="N199" s="331">
        <f>M199+L197</f>
        <v>0</v>
      </c>
      <c r="O199" s="332">
        <f>SUM(M196:N196)</f>
        <v>0</v>
      </c>
      <c r="P199" s="333">
        <f>ROUND(Q171*B195,2)+ROUND(Q171*C195,2)+ROUND(Q171*D195,2)</f>
        <v>0</v>
      </c>
      <c r="Q199" s="334">
        <f>IF(D189&gt;0,ROUND(($U$2*J$2),2),0)</f>
        <v>0</v>
      </c>
      <c r="R199" s="335">
        <f>IF(B174&gt;=G174/2,IF(B174=G174,H175+I175+J175+L175+O175+P175+R175+IF(K175&gt;0,ROUND((K175/K173),2),0),ROUND((((H175+J175+L175)/B174)*(G174-B187)),2)+IF(K175&gt;0,ROUND((K175/K173),2),0)+I175+O175+P175+R175),0)</f>
        <v>0</v>
      </c>
      <c r="S199" s="336">
        <f>IF(P170-O194-S192-L197&gt;0,P170-O194-S192-L197,0)</f>
        <v>0</v>
      </c>
      <c r="T199" s="693" t="s">
        <v>232</v>
      </c>
      <c r="U199" s="703"/>
      <c r="V199" s="323">
        <f>IF(ISBLANK(AM171),0,IF(IF(AF186&gt;=AJ$2,AJ$2,AF186)&gt;0,IF(AF186&gt;=AJ$2,AJ$2,AF186),0))</f>
        <v>0</v>
      </c>
    </row>
    <row r="200" ht="24" customHeight="1" thickTop="1"/>
    <row r="201" spans="1:23" ht="33" customHeight="1" thickBot="1">
      <c r="A201" s="111" t="s">
        <v>72</v>
      </c>
      <c r="B201" s="112" t="s">
        <v>73</v>
      </c>
      <c r="C201" s="113"/>
      <c r="D201" s="113"/>
      <c r="E201" s="114"/>
      <c r="F201" s="553" t="s">
        <v>74</v>
      </c>
      <c r="G201" s="555" t="s">
        <v>75</v>
      </c>
      <c r="H201" s="557" t="s">
        <v>76</v>
      </c>
      <c r="I201" s="557"/>
      <c r="J201" s="558"/>
      <c r="K201" s="559"/>
      <c r="L201" s="560"/>
      <c r="M201" s="560"/>
      <c r="N201" s="560"/>
      <c r="O201" s="561"/>
      <c r="P201" s="559"/>
      <c r="Q201" s="560"/>
      <c r="R201" s="560"/>
      <c r="S201" s="560"/>
      <c r="T201" s="565" t="s">
        <v>77</v>
      </c>
      <c r="U201" s="566"/>
      <c r="V201" s="102"/>
      <c r="W201" s="115"/>
    </row>
    <row r="202" spans="1:23" ht="44.25" customHeight="1" thickBot="1" thickTop="1">
      <c r="A202" s="567">
        <f>A170+1</f>
        <v>7</v>
      </c>
      <c r="B202" s="571" t="s">
        <v>79</v>
      </c>
      <c r="C202" s="571" t="s">
        <v>80</v>
      </c>
      <c r="D202" s="573" t="s">
        <v>81</v>
      </c>
      <c r="E202" s="573"/>
      <c r="F202" s="554"/>
      <c r="G202" s="556"/>
      <c r="H202" s="574" t="s">
        <v>82</v>
      </c>
      <c r="I202" s="574"/>
      <c r="J202" s="574"/>
      <c r="K202" s="574"/>
      <c r="L202" s="575">
        <f>P202+S208</f>
        <v>0</v>
      </c>
      <c r="M202" s="576"/>
      <c r="N202" s="577" t="s">
        <v>83</v>
      </c>
      <c r="O202" s="578"/>
      <c r="P202" s="575">
        <f>Q203+M208</f>
        <v>0</v>
      </c>
      <c r="Q202" s="576"/>
      <c r="R202" s="119"/>
      <c r="S202" s="120"/>
      <c r="T202" s="121"/>
      <c r="U202" s="122"/>
      <c r="V202" s="102"/>
      <c r="W202" s="115"/>
    </row>
    <row r="203" spans="1:23" ht="36.75" customHeight="1">
      <c r="A203" s="568"/>
      <c r="B203" s="572"/>
      <c r="C203" s="572"/>
      <c r="D203" s="124" t="s">
        <v>85</v>
      </c>
      <c r="E203" s="124" t="s">
        <v>86</v>
      </c>
      <c r="F203" s="554"/>
      <c r="G203" s="556"/>
      <c r="H203" s="562" t="s">
        <v>87</v>
      </c>
      <c r="I203" s="563"/>
      <c r="J203" s="563"/>
      <c r="K203" s="563"/>
      <c r="L203" s="563"/>
      <c r="M203" s="563"/>
      <c r="N203" s="563"/>
      <c r="O203" s="563"/>
      <c r="P203" s="564"/>
      <c r="Q203" s="579">
        <f>SUM(H207:S207)</f>
        <v>0</v>
      </c>
      <c r="R203" s="580"/>
      <c r="S203" s="125"/>
      <c r="T203" s="581"/>
      <c r="U203" s="582"/>
      <c r="V203" s="102"/>
      <c r="W203" s="115"/>
    </row>
    <row r="204" spans="1:23" ht="38.25" customHeight="1">
      <c r="A204" s="568"/>
      <c r="B204" s="572"/>
      <c r="C204" s="126"/>
      <c r="D204" s="124" t="s">
        <v>89</v>
      </c>
      <c r="E204" s="124" t="s">
        <v>89</v>
      </c>
      <c r="F204" s="554"/>
      <c r="G204" s="127"/>
      <c r="H204" s="128" t="s">
        <v>90</v>
      </c>
      <c r="I204" s="129" t="s">
        <v>91</v>
      </c>
      <c r="J204" s="129" t="s">
        <v>92</v>
      </c>
      <c r="K204" s="130" t="s">
        <v>93</v>
      </c>
      <c r="L204" s="583" t="s">
        <v>94</v>
      </c>
      <c r="M204" s="583" t="s">
        <v>95</v>
      </c>
      <c r="N204" s="583" t="s">
        <v>96</v>
      </c>
      <c r="O204" s="585" t="s">
        <v>97</v>
      </c>
      <c r="P204" s="583" t="s">
        <v>98</v>
      </c>
      <c r="Q204" s="587" t="s">
        <v>99</v>
      </c>
      <c r="R204" s="589" t="s">
        <v>100</v>
      </c>
      <c r="S204" s="591" t="s">
        <v>101</v>
      </c>
      <c r="T204" s="581"/>
      <c r="U204" s="582"/>
      <c r="V204" s="102"/>
      <c r="W204" s="115"/>
    </row>
    <row r="205" spans="1:23" ht="30" customHeight="1">
      <c r="A205" s="568"/>
      <c r="B205" s="572"/>
      <c r="C205" s="131"/>
      <c r="D205" s="131"/>
      <c r="E205" s="131"/>
      <c r="F205" s="554"/>
      <c r="G205" s="127"/>
      <c r="H205" s="132" t="s">
        <v>103</v>
      </c>
      <c r="I205" s="133" t="s">
        <v>104</v>
      </c>
      <c r="J205" s="134">
        <v>0</v>
      </c>
      <c r="K205" s="135">
        <v>1</v>
      </c>
      <c r="L205" s="584"/>
      <c r="M205" s="584"/>
      <c r="N205" s="584"/>
      <c r="O205" s="586"/>
      <c r="P205" s="584"/>
      <c r="Q205" s="588"/>
      <c r="R205" s="590"/>
      <c r="S205" s="592"/>
      <c r="T205" s="581"/>
      <c r="U205" s="582"/>
      <c r="V205" s="102"/>
      <c r="W205" s="115"/>
    </row>
    <row r="206" spans="1:21" ht="51" customHeight="1">
      <c r="A206" s="568"/>
      <c r="B206" s="137">
        <f>G206</f>
        <v>0</v>
      </c>
      <c r="C206" s="137"/>
      <c r="D206" s="137"/>
      <c r="E206" s="138"/>
      <c r="F206" s="138"/>
      <c r="G206" s="139">
        <f>B$1*B231</f>
        <v>0</v>
      </c>
      <c r="H206" s="140">
        <f aca="true" t="shared" si="18" ref="H206:S206">IF(H207&gt;0,1,0)</f>
        <v>0</v>
      </c>
      <c r="I206" s="141">
        <f t="shared" si="18"/>
        <v>0</v>
      </c>
      <c r="J206" s="141">
        <f t="shared" si="18"/>
        <v>0</v>
      </c>
      <c r="K206" s="142">
        <f t="shared" si="18"/>
        <v>0</v>
      </c>
      <c r="L206" s="142">
        <f t="shared" si="18"/>
        <v>0</v>
      </c>
      <c r="M206" s="142">
        <f t="shared" si="18"/>
        <v>0</v>
      </c>
      <c r="N206" s="142">
        <f t="shared" si="18"/>
        <v>0</v>
      </c>
      <c r="O206" s="141">
        <f t="shared" si="18"/>
        <v>0</v>
      </c>
      <c r="P206" s="142">
        <f t="shared" si="18"/>
        <v>0</v>
      </c>
      <c r="Q206" s="142">
        <f t="shared" si="18"/>
        <v>0</v>
      </c>
      <c r="R206" s="143">
        <f t="shared" si="18"/>
        <v>0</v>
      </c>
      <c r="S206" s="144">
        <f t="shared" si="18"/>
        <v>0</v>
      </c>
      <c r="T206" s="593"/>
      <c r="U206" s="594"/>
    </row>
    <row r="207" spans="1:22" ht="49.5" customHeight="1" thickBot="1">
      <c r="A207" s="568"/>
      <c r="B207" s="595" t="s">
        <v>106</v>
      </c>
      <c r="C207" s="595" t="s">
        <v>107</v>
      </c>
      <c r="D207" s="596" t="s">
        <v>108</v>
      </c>
      <c r="E207" s="148" t="s">
        <v>109</v>
      </c>
      <c r="F207" s="149"/>
      <c r="G207" s="597" t="s">
        <v>110</v>
      </c>
      <c r="H207" s="150">
        <f>IF(B206+B210+B217+B219+C216+D210+F207&gt;0,IF(B222&gt;0,B222-(IF(E210+F210+G210+B214+C214+D214+E214+F214&gt;0,ROUND((B222/30)*IF(E210+F210+G210+B214+C214+D214+E214+F214&lt;31,E210+F210+G210+B214+C214+D214+E214+F214,30),2),0)+ROUND(((B222/G206)*(B210+B217+B219+C216+D210)),2)),0),0)+IF(B206&gt;G206,IF(B222&gt;0,(B206-G206)*B224,0),0)+IF(B223&gt;0,B223*B206,0)-IF(IF(B206+B210+B217+B219+C216+D210+F207&gt;0,IF(B222&gt;0,B222-(IF(E210+F210+G210+B214+C214+D214+E214+F214&gt;0,ROUND((B222/30)*IF(E210+F210+G210+B214+C214+D214+E214+F214&lt;31,E210+F210+G210+B214+C214+D214+E214+F214,30),2),0)+ROUND(((B222/G206)*(B210+B217+B219+C216+D210)),2)),0),0)&lt;0,IF(B206+B210+B217+B219+C216+D210+F207&gt;0,IF(B222&gt;0,B222-(IF(E210+F210+G210+B214+C214+D214+E214+F214&gt;0,ROUND((B222/30)*IF(E210+F210+G210+B214+C214+D214+E214+F214&lt;31,E210+F210+G210+B214+C214+D214+E214+F214,30),2),0)+ROUND(((B222/G206)*(B210+B217+B219+C216+D210)),2)),0),0),0)</f>
        <v>0</v>
      </c>
      <c r="I207" s="151">
        <f>ROUND(D206*ROUND(B224*150%,2)+E206*ROUND(B224*200%,2),2)</f>
        <v>0</v>
      </c>
      <c r="J207" s="151">
        <f>ROUND((J205*H207),2)</f>
        <v>0</v>
      </c>
      <c r="K207" s="151"/>
      <c r="L207" s="151">
        <f>IF(C206&gt;0,C206*ROUND(B224*U$3,2),0)+IF(U$3=0,IF(C206&gt;0,C206*ROUND(20%*ROUND(E$1/G206,2),2),0))</f>
        <v>0</v>
      </c>
      <c r="M207" s="151">
        <f>IF(B210&gt;0,ROUND((B210*C219),2),0)</f>
        <v>0</v>
      </c>
      <c r="N207" s="151">
        <f>IF(B206+D206+E206+F206&gt;0,ROUND((((H207+I207+J207+L207+O207)/(B206+D206+E206+F206))*D210),2),B224*D210)</f>
        <v>0</v>
      </c>
      <c r="O207" s="151">
        <f>ROUND((F206*B224),2)</f>
        <v>0</v>
      </c>
      <c r="P207" s="151">
        <f>IF(C210&gt;0,ROUND((D219/($I$1*8*B231)),2)*C210,0)</f>
        <v>0</v>
      </c>
      <c r="Q207" s="151"/>
      <c r="R207" s="152"/>
      <c r="S207" s="153">
        <f>IF(G224&gt;500,G224-500,0)+IF(F224&gt;190,F224-190,0)</f>
        <v>0</v>
      </c>
      <c r="T207" s="593"/>
      <c r="U207" s="594"/>
      <c r="V207" s="154"/>
    </row>
    <row r="208" spans="1:21" ht="57" customHeight="1">
      <c r="A208" s="568"/>
      <c r="B208" s="554"/>
      <c r="C208" s="554"/>
      <c r="D208" s="554"/>
      <c r="E208" s="599" t="s">
        <v>112</v>
      </c>
      <c r="F208" s="599"/>
      <c r="G208" s="598"/>
      <c r="H208" s="600" t="s">
        <v>113</v>
      </c>
      <c r="I208" s="601"/>
      <c r="J208" s="601"/>
      <c r="K208" s="601"/>
      <c r="L208" s="601"/>
      <c r="M208" s="602">
        <f>H213+I213+M209</f>
        <v>0</v>
      </c>
      <c r="N208" s="603"/>
      <c r="O208" s="604" t="s">
        <v>114</v>
      </c>
      <c r="P208" s="604"/>
      <c r="Q208" s="604"/>
      <c r="R208" s="604"/>
      <c r="S208" s="156">
        <f>S209+O213</f>
        <v>0</v>
      </c>
      <c r="T208" s="605"/>
      <c r="U208" s="606"/>
    </row>
    <row r="209" spans="1:21" ht="38.25" customHeight="1">
      <c r="A209" s="568"/>
      <c r="B209" s="157"/>
      <c r="C209" s="131"/>
      <c r="D209" s="131"/>
      <c r="E209" s="158">
        <v>0.8</v>
      </c>
      <c r="F209" s="158">
        <v>1</v>
      </c>
      <c r="G209" s="159">
        <v>0.8</v>
      </c>
      <c r="H209" s="607" t="s">
        <v>115</v>
      </c>
      <c r="I209" s="608"/>
      <c r="J209" s="609" t="s">
        <v>116</v>
      </c>
      <c r="K209" s="610"/>
      <c r="L209" s="610"/>
      <c r="M209" s="611">
        <f>SUM(J213:N213)</f>
        <v>0</v>
      </c>
      <c r="N209" s="612"/>
      <c r="O209" s="160" t="s">
        <v>117</v>
      </c>
      <c r="P209" s="613" t="s">
        <v>118</v>
      </c>
      <c r="Q209" s="614"/>
      <c r="R209" s="615"/>
      <c r="S209" s="161">
        <f>SUM(P213:S213)</f>
        <v>0</v>
      </c>
      <c r="T209" s="616"/>
      <c r="U209" s="617"/>
    </row>
    <row r="210" spans="1:21" ht="40.5" customHeight="1">
      <c r="A210" s="568"/>
      <c r="B210" s="137"/>
      <c r="C210" s="137"/>
      <c r="D210" s="137"/>
      <c r="E210" s="137"/>
      <c r="F210" s="137"/>
      <c r="G210" s="139"/>
      <c r="H210" s="618" t="s">
        <v>119</v>
      </c>
      <c r="I210" s="162"/>
      <c r="J210" s="620" t="s">
        <v>120</v>
      </c>
      <c r="K210" s="595" t="s">
        <v>121</v>
      </c>
      <c r="L210" s="595" t="s">
        <v>122</v>
      </c>
      <c r="M210" s="595" t="s">
        <v>123</v>
      </c>
      <c r="N210" s="163" t="s">
        <v>124</v>
      </c>
      <c r="O210" s="622" t="s">
        <v>125</v>
      </c>
      <c r="P210" s="624" t="s">
        <v>126</v>
      </c>
      <c r="Q210" s="584" t="s">
        <v>127</v>
      </c>
      <c r="R210" s="634" t="s">
        <v>128</v>
      </c>
      <c r="S210" s="633" t="s">
        <v>129</v>
      </c>
      <c r="T210" s="164"/>
      <c r="U210" s="165"/>
    </row>
    <row r="211" spans="1:21" ht="39.75" customHeight="1">
      <c r="A211" s="568"/>
      <c r="B211" s="571" t="s">
        <v>110</v>
      </c>
      <c r="C211" s="571" t="s">
        <v>130</v>
      </c>
      <c r="D211" s="571" t="s">
        <v>131</v>
      </c>
      <c r="E211" s="571" t="s">
        <v>132</v>
      </c>
      <c r="F211" s="571" t="s">
        <v>110</v>
      </c>
      <c r="G211" s="166" t="s">
        <v>133</v>
      </c>
      <c r="H211" s="619"/>
      <c r="I211" s="167"/>
      <c r="J211" s="621"/>
      <c r="K211" s="554"/>
      <c r="L211" s="554"/>
      <c r="M211" s="554"/>
      <c r="N211" s="168" t="s">
        <v>134</v>
      </c>
      <c r="O211" s="623"/>
      <c r="P211" s="624"/>
      <c r="Q211" s="584"/>
      <c r="R211" s="634"/>
      <c r="S211" s="633"/>
      <c r="T211" s="627">
        <f>I223-S224-P223</f>
        <v>0</v>
      </c>
      <c r="U211" s="628"/>
    </row>
    <row r="212" spans="1:21" ht="35.25" customHeight="1">
      <c r="A212" s="568"/>
      <c r="B212" s="572"/>
      <c r="C212" s="572"/>
      <c r="D212" s="572"/>
      <c r="E212" s="572"/>
      <c r="F212" s="572"/>
      <c r="G212" s="139"/>
      <c r="H212" s="169">
        <f aca="true" t="shared" si="19" ref="H212:M212">IF(H213&gt;0,1,0)</f>
        <v>0</v>
      </c>
      <c r="I212" s="170">
        <f t="shared" si="19"/>
        <v>0</v>
      </c>
      <c r="J212" s="171">
        <f t="shared" si="19"/>
        <v>0</v>
      </c>
      <c r="K212" s="172">
        <f t="shared" si="19"/>
        <v>0</v>
      </c>
      <c r="L212" s="173">
        <f t="shared" si="19"/>
        <v>0</v>
      </c>
      <c r="M212" s="173">
        <f t="shared" si="19"/>
        <v>0</v>
      </c>
      <c r="N212" s="174">
        <v>0</v>
      </c>
      <c r="O212" s="175">
        <f>IF(O213&gt;0,1,0)</f>
        <v>0</v>
      </c>
      <c r="P212" s="171">
        <f>IF(P213&gt;0,1,0)</f>
        <v>0</v>
      </c>
      <c r="Q212" s="173">
        <f>IF(Q213&gt;0,1,0)</f>
        <v>0</v>
      </c>
      <c r="R212" s="173">
        <f>IF(R213&gt;0,1,0)</f>
        <v>0</v>
      </c>
      <c r="S212" s="176">
        <f>IF(S213&gt;0,1,0)</f>
        <v>0</v>
      </c>
      <c r="T212" s="627"/>
      <c r="U212" s="628"/>
    </row>
    <row r="213" spans="1:21" ht="36" customHeight="1" thickBot="1">
      <c r="A213" s="568"/>
      <c r="B213" s="177">
        <v>1</v>
      </c>
      <c r="C213" s="177">
        <v>0.8</v>
      </c>
      <c r="D213" s="572"/>
      <c r="E213" s="572"/>
      <c r="F213" s="177">
        <v>0.7</v>
      </c>
      <c r="G213" s="178">
        <v>0</v>
      </c>
      <c r="H213" s="179">
        <f>IF(E210&gt;0,ROUND((C224*E209),2)*E210,0)+IF(F210&gt;0,C224*F210,0)</f>
        <v>0</v>
      </c>
      <c r="I213" s="180"/>
      <c r="J213" s="181">
        <f>IF(G206&gt;0,IF(B206&gt;=G206,E219-((E219/22)*F219),(E219-(ROUND(((E219/22)*(((G206-B206)/8*B231)+F219)),2))))-IF(B206=0,0,0)-IF(B206&lt;=F219*8*B231,E219-ROUND(((E219/22)*(((G206-B206)/8*B231)+F219)),2),0),0)</f>
        <v>0</v>
      </c>
      <c r="K213" s="182">
        <f>G222-R213</f>
        <v>0</v>
      </c>
      <c r="L213" s="182">
        <f>IF(F224&gt;0,IF(F224&lt;190,F224,190),0)</f>
        <v>0</v>
      </c>
      <c r="M213" s="182"/>
      <c r="N213" s="183">
        <f>IF(N212&gt;0,L$3*B231*N212,0)</f>
        <v>0</v>
      </c>
      <c r="O213" s="184">
        <f>IF(C231&lt;=$P$2,IF(G224&gt;0,IF(G224&lt;500,G224,500),0),0)</f>
        <v>0</v>
      </c>
      <c r="P213" s="181">
        <f>IF(G219&gt;0,ROUND(((G219/G206)*B206),2),0)+G218</f>
        <v>0</v>
      </c>
      <c r="Q213" s="182">
        <f>IF(F217&gt;0,ROUND((F217/G206)*B206,2),0)</f>
        <v>0</v>
      </c>
      <c r="R213" s="182">
        <f>IF(G222&gt;0,IF(G222&lt;380,G222,380),0)</f>
        <v>0</v>
      </c>
      <c r="S213" s="185"/>
      <c r="T213" s="627"/>
      <c r="U213" s="628"/>
    </row>
    <row r="214" spans="1:21" ht="60" customHeight="1" thickBot="1" thickTop="1">
      <c r="A214" s="568"/>
      <c r="B214" s="137"/>
      <c r="C214" s="137"/>
      <c r="D214" s="137"/>
      <c r="E214" s="137"/>
      <c r="F214" s="137"/>
      <c r="G214" s="139">
        <f>IF(L202+L215-Q213-P213-K223-J213&gt;$F$1,IF(G213&gt;0,IF(((H223-S224-L229-L223-J213-K213-L213-O226+P231)*(100%-G213))&gt;=(($F$1*B231)-IF(ROUND(((ROUND(($F$1-C231),0.1)*E231)-D231),0.1)&gt;0,ROUND(((ROUND(($F$1-C231),0.1)*E231)-D231),0.1),0)),((H223-S224-L229-L223-J213-K213-L213-O226+P231)*G213)))+IF(G213&gt;0,IF(((H223-S224-L229-L223-J213-K213-L213-O226+P231)*(100%-G213))&lt;(($F$1*B231)-IF(ROUND(((ROUND(($F$1-C231),0.1)*E231)-D231),0.1)&gt;0,ROUND(((ROUND(($F$1-C231),0.1)*E231)-D231),0.1),0)),(H223-S224-L229-L223-J213-K213-L213-O226+P231)-(($F$1*B231)-IF(ROUND(((ROUND(($F$1-C231),0.1)*E231)-D231),0.1)&gt;0,ROUND(((ROUND(($F$1-C231),0.1)*E231)-D231),0.1),0)))),0)</f>
        <v>0</v>
      </c>
      <c r="H214" s="629" t="s">
        <v>135</v>
      </c>
      <c r="I214" s="630"/>
      <c r="J214" s="630"/>
      <c r="K214" s="575">
        <f>L215+P214</f>
        <v>0</v>
      </c>
      <c r="L214" s="576"/>
      <c r="M214" s="631" t="s">
        <v>136</v>
      </c>
      <c r="N214" s="632"/>
      <c r="O214" s="632"/>
      <c r="P214" s="575">
        <f>P215+S215</f>
        <v>0</v>
      </c>
      <c r="Q214" s="575"/>
      <c r="R214" s="186"/>
      <c r="S214" s="186"/>
      <c r="T214" s="187">
        <v>200</v>
      </c>
      <c r="U214" s="188">
        <f>ROUND(((1400/'[1]Li-pł zlec'!$V$1)*'[1]LI-PŁ-prac'!T214),2)+((H213+L215)-ROUND(((H213+L215)*$N$3),2))+O216+P216+P218+R218+S218-O223-L223-M223</f>
        <v>1750</v>
      </c>
    </row>
    <row r="215" spans="1:21" ht="119.25" customHeight="1">
      <c r="A215" s="568"/>
      <c r="B215" s="189" t="s">
        <v>137</v>
      </c>
      <c r="C215" s="190" t="s">
        <v>138</v>
      </c>
      <c r="D215" s="595" t="s">
        <v>139</v>
      </c>
      <c r="E215" s="649" t="s">
        <v>307</v>
      </c>
      <c r="F215" s="191" t="s">
        <v>140</v>
      </c>
      <c r="G215" s="192" t="s">
        <v>141</v>
      </c>
      <c r="H215" s="651" t="s">
        <v>142</v>
      </c>
      <c r="I215" s="652"/>
      <c r="J215" s="652"/>
      <c r="K215" s="652"/>
      <c r="L215" s="193">
        <f>SUM(H218:L218)</f>
        <v>0</v>
      </c>
      <c r="M215" s="625"/>
      <c r="N215" s="626"/>
      <c r="O215" s="626"/>
      <c r="P215" s="193"/>
      <c r="Q215" s="635"/>
      <c r="R215" s="636"/>
      <c r="S215" s="194"/>
      <c r="T215" s="637"/>
      <c r="U215" s="638"/>
    </row>
    <row r="216" spans="1:21" ht="141" customHeight="1" thickBot="1">
      <c r="A216" s="568"/>
      <c r="B216" s="195" t="s">
        <v>143</v>
      </c>
      <c r="C216" s="196"/>
      <c r="D216" s="554"/>
      <c r="E216" s="650"/>
      <c r="F216" s="197">
        <f>IF(F217&gt;0,1,0)</f>
        <v>0</v>
      </c>
      <c r="G216" s="155" t="s">
        <v>308</v>
      </c>
      <c r="H216" s="198" t="s">
        <v>144</v>
      </c>
      <c r="I216" s="199" t="s">
        <v>145</v>
      </c>
      <c r="J216" s="199" t="s">
        <v>146</v>
      </c>
      <c r="K216" s="199" t="s">
        <v>147</v>
      </c>
      <c r="L216" s="200" t="s">
        <v>148</v>
      </c>
      <c r="M216" s="201"/>
      <c r="N216" s="202"/>
      <c r="O216" s="203"/>
      <c r="P216" s="204"/>
      <c r="Q216" s="205"/>
      <c r="R216" s="206"/>
      <c r="S216" s="207"/>
      <c r="T216" s="637"/>
      <c r="U216" s="638"/>
    </row>
    <row r="217" spans="1:21" ht="51.75" customHeight="1">
      <c r="A217" s="568"/>
      <c r="B217" s="208"/>
      <c r="C217" s="595" t="s">
        <v>149</v>
      </c>
      <c r="D217" s="554"/>
      <c r="E217" s="209"/>
      <c r="F217" s="210">
        <f>IF(T203&gt;0,$H$3,0)</f>
        <v>0</v>
      </c>
      <c r="G217" s="211">
        <f>IF(G218+G219&gt;0,1,0)</f>
        <v>0</v>
      </c>
      <c r="H217" s="212">
        <f>IF(H218&gt;0,1,0)</f>
        <v>0</v>
      </c>
      <c r="I217" s="213">
        <f>IF(I218&gt;0,1,0)</f>
        <v>0</v>
      </c>
      <c r="J217" s="213">
        <f>IF(J218&gt;0,1,0)</f>
        <v>0</v>
      </c>
      <c r="K217" s="213">
        <f>IF(K218&gt;0,1,0)</f>
        <v>0</v>
      </c>
      <c r="L217" s="214">
        <f>IF(L218&gt;0,1,0)</f>
        <v>0</v>
      </c>
      <c r="M217" s="639" t="s">
        <v>150</v>
      </c>
      <c r="N217" s="640"/>
      <c r="O217" s="641"/>
      <c r="P217" s="642"/>
      <c r="Q217" s="215"/>
      <c r="R217" s="216"/>
      <c r="S217" s="217"/>
      <c r="T217" s="643"/>
      <c r="U217" s="644"/>
    </row>
    <row r="218" spans="1:21" ht="60.75" customHeight="1" thickBot="1">
      <c r="A218" s="568"/>
      <c r="B218" s="218" t="s">
        <v>151</v>
      </c>
      <c r="C218" s="554"/>
      <c r="D218" s="131"/>
      <c r="E218" s="219">
        <f>IF(E217&gt;0,C$3,0)</f>
        <v>0</v>
      </c>
      <c r="F218" s="220" t="s">
        <v>152</v>
      </c>
      <c r="G218" s="221"/>
      <c r="H218" s="179">
        <f>IF(G210&gt;0,(ROUND((C224*G209),2)*G210),0)+IF(B214&gt;0,(ROUND((C224*B213),2)*B214),0)+IF(F214&gt;0,(ROUND((C224*F213),2)*F214),0)</f>
        <v>0</v>
      </c>
      <c r="I218" s="182">
        <f>IF(E214&gt;0,(ROUND(((D224*D223)/30),2)*E214),0)</f>
        <v>0</v>
      </c>
      <c r="J218" s="182">
        <f>IF(C214&gt;0,(ROUND(C224*C213,2)*C214),0)</f>
        <v>0</v>
      </c>
      <c r="K218" s="182">
        <f>IF(D214&gt;0,(ROUND(C224,2)*D214),0)</f>
        <v>0</v>
      </c>
      <c r="L218" s="222">
        <f>E224</f>
        <v>0</v>
      </c>
      <c r="M218" s="645">
        <f>Q203+M208+L215</f>
        <v>0</v>
      </c>
      <c r="N218" s="646"/>
      <c r="O218" s="202"/>
      <c r="P218" s="223"/>
      <c r="Q218" s="224"/>
      <c r="R218" s="182"/>
      <c r="S218" s="185"/>
      <c r="T218" s="695" t="s">
        <v>153</v>
      </c>
      <c r="U218" s="696"/>
    </row>
    <row r="219" spans="1:21" ht="41.25" customHeight="1" thickTop="1">
      <c r="A219" s="568"/>
      <c r="B219" s="208"/>
      <c r="C219" s="208"/>
      <c r="D219" s="208"/>
      <c r="E219" s="203">
        <f>ROUND((E217*E218),2)</f>
        <v>0</v>
      </c>
      <c r="F219" s="225"/>
      <c r="G219" s="226"/>
      <c r="H219" s="653" t="s">
        <v>309</v>
      </c>
      <c r="I219" s="655" t="s">
        <v>154</v>
      </c>
      <c r="J219" s="657" t="s">
        <v>155</v>
      </c>
      <c r="K219" s="660" t="s">
        <v>156</v>
      </c>
      <c r="L219" s="661" t="s">
        <v>157</v>
      </c>
      <c r="M219" s="661"/>
      <c r="N219" s="661"/>
      <c r="O219" s="662"/>
      <c r="P219" s="663" t="s">
        <v>158</v>
      </c>
      <c r="Q219" s="227" t="s">
        <v>159</v>
      </c>
      <c r="R219" s="228" t="s">
        <v>160</v>
      </c>
      <c r="S219" s="229" t="s">
        <v>161</v>
      </c>
      <c r="T219" s="695" t="s">
        <v>162</v>
      </c>
      <c r="U219" s="696"/>
    </row>
    <row r="220" spans="1:21" ht="92.25" customHeight="1">
      <c r="A220" s="568"/>
      <c r="B220" s="664" t="s">
        <v>163</v>
      </c>
      <c r="C220" s="117" t="s">
        <v>164</v>
      </c>
      <c r="D220" s="337" t="s">
        <v>165</v>
      </c>
      <c r="E220" s="146" t="s">
        <v>166</v>
      </c>
      <c r="F220" s="697" t="s">
        <v>167</v>
      </c>
      <c r="G220" s="191" t="s">
        <v>168</v>
      </c>
      <c r="H220" s="654"/>
      <c r="I220" s="656"/>
      <c r="J220" s="658"/>
      <c r="K220" s="584"/>
      <c r="L220" s="232" t="s">
        <v>169</v>
      </c>
      <c r="M220" s="123" t="s">
        <v>170</v>
      </c>
      <c r="N220" s="136" t="s">
        <v>171</v>
      </c>
      <c r="O220" s="136" t="s">
        <v>172</v>
      </c>
      <c r="P220" s="556"/>
      <c r="Q220" s="233">
        <f>ROUND(IF(S225&gt;$N$4,IF(S225&lt;=$O$4,7866.25+((S225-$N$4)*$O$3)),0)+IF(S225&gt;$O$4,20177.65+((S225-$O$4)*$P$3),0)+IF(S225&lt;=$N$4,IF(S225*E231&gt;0,S225*E231),0),0.1)</f>
        <v>0</v>
      </c>
      <c r="R220" s="234">
        <f>IF(L215&gt;0,ROUND((ROUND((L215),0.1)*E231),0.1),0)</f>
        <v>0</v>
      </c>
      <c r="S220" s="235">
        <f>IF(Q220+R220-D231&gt;=0,Q220+R220-D231,0)+IF(D231-Q220+R220&gt;0&lt;D231+0.001,Q220+R220-D231,0)</f>
        <v>0</v>
      </c>
      <c r="T220" s="695" t="s">
        <v>173</v>
      </c>
      <c r="U220" s="696"/>
    </row>
    <row r="221" spans="1:21" ht="36.75" customHeight="1">
      <c r="A221" s="568"/>
      <c r="B221" s="665"/>
      <c r="C221" s="230"/>
      <c r="D221" s="236"/>
      <c r="E221" s="237"/>
      <c r="F221" s="698"/>
      <c r="G221" s="239" t="s">
        <v>310</v>
      </c>
      <c r="H221" s="654"/>
      <c r="I221" s="656"/>
      <c r="J221" s="658"/>
      <c r="K221" s="584"/>
      <c r="L221" s="123"/>
      <c r="M221" s="240"/>
      <c r="N221" s="241"/>
      <c r="O221" s="136"/>
      <c r="P221" s="556"/>
      <c r="Q221" s="668" t="s">
        <v>174</v>
      </c>
      <c r="R221" s="669"/>
      <c r="S221" s="235">
        <f>ROUND(IF(S220&gt;=L231,S220-L231,0),0.1)</f>
        <v>0</v>
      </c>
      <c r="T221" s="338" t="str">
        <f>L$8</f>
        <v>styczeń</v>
      </c>
      <c r="U221" s="339" t="str">
        <f>N$8</f>
        <v>2011 r.</v>
      </c>
    </row>
    <row r="222" spans="1:21" ht="48" customHeight="1">
      <c r="A222" s="568"/>
      <c r="B222" s="244">
        <f>IF(B223=0,IF(T203&gt;0,IF(T208&gt;0,IF(T208="I kl",O$1)+IF(T208="II kl",P$1)+IF(T208="III kl",Q$1),ROUND((E$1*B231),2)),0),0)</f>
        <v>0</v>
      </c>
      <c r="C222" s="118" t="s">
        <v>175</v>
      </c>
      <c r="D222" s="123" t="s">
        <v>176</v>
      </c>
      <c r="E222" s="245"/>
      <c r="F222" s="698"/>
      <c r="G222" s="139"/>
      <c r="H222" s="246">
        <f>IF(H223&gt;0,1,0)</f>
        <v>0</v>
      </c>
      <c r="I222" s="247">
        <f>IF(I223&gt;0,1,0)</f>
        <v>0</v>
      </c>
      <c r="J222" s="658"/>
      <c r="K222" s="248">
        <f aca="true" t="shared" si="20" ref="K222:P222">IF(K223&gt;0,1,0)</f>
        <v>0</v>
      </c>
      <c r="L222" s="249">
        <f t="shared" si="20"/>
        <v>0</v>
      </c>
      <c r="M222" s="250">
        <f t="shared" si="20"/>
        <v>0</v>
      </c>
      <c r="N222" s="249">
        <f t="shared" si="20"/>
        <v>0</v>
      </c>
      <c r="O222" s="251">
        <f t="shared" si="20"/>
        <v>0</v>
      </c>
      <c r="P222" s="252">
        <f t="shared" si="20"/>
        <v>0</v>
      </c>
      <c r="Q222" s="670" t="s">
        <v>177</v>
      </c>
      <c r="R222" s="253" t="s">
        <v>178</v>
      </c>
      <c r="S222" s="235">
        <v>0</v>
      </c>
      <c r="T222" s="647" t="s">
        <v>179</v>
      </c>
      <c r="U222" s="648"/>
    </row>
    <row r="223" spans="1:21" ht="57.75" customHeight="1" thickBot="1">
      <c r="A223" s="568"/>
      <c r="B223" s="254"/>
      <c r="C223" s="230"/>
      <c r="D223" s="177">
        <v>0.9</v>
      </c>
      <c r="E223" s="255">
        <f>IF(E221&gt;0,$U$1-E222,0)</f>
        <v>0</v>
      </c>
      <c r="F223" s="238">
        <f>IF(F224&gt;0,1,0)</f>
        <v>0</v>
      </c>
      <c r="G223" s="256" t="s">
        <v>180</v>
      </c>
      <c r="H223" s="257">
        <f>P202+L215-P231</f>
        <v>0</v>
      </c>
      <c r="I223" s="233">
        <f>L202+K214</f>
        <v>0</v>
      </c>
      <c r="J223" s="659"/>
      <c r="K223" s="244">
        <f>S207+K213+L213+O213+R213+O226+L229-N223</f>
        <v>0</v>
      </c>
      <c r="L223" s="244"/>
      <c r="M223" s="244">
        <f>G212+IF(G214&gt;0,G214,0)</f>
        <v>0</v>
      </c>
      <c r="N223" s="244">
        <f>L229-L231</f>
        <v>0</v>
      </c>
      <c r="O223" s="244"/>
      <c r="P223" s="258">
        <f>SUM(K223:O223)</f>
        <v>0</v>
      </c>
      <c r="Q223" s="671"/>
      <c r="R223" s="259" t="s">
        <v>181</v>
      </c>
      <c r="S223" s="235">
        <v>0</v>
      </c>
      <c r="T223" s="647" t="s">
        <v>182</v>
      </c>
      <c r="U223" s="648"/>
    </row>
    <row r="224" spans="1:21" ht="45.75" customHeight="1" thickBot="1" thickTop="1">
      <c r="A224" s="569"/>
      <c r="B224" s="244">
        <f>IF(B223=0,ROUND(IF(B222&gt;0,CEILING((B222/G206),0.01),B223),2),B223)</f>
        <v>0</v>
      </c>
      <c r="C224" s="244">
        <f>IF(T203&gt;0,(IF(C221&gt;0,ROUND(((C221-(C221*(B227+C227+D227)))/30),2),0)+IF(C223&gt;0,ROUND((C223/30),2),0))+(IF(IF(C221&gt;0,ROUND(((C221-(C221*(B227+C227+D227)))/30),2),0)+IF(C223&gt;0,ROUND((C223/30),2),0)&lt;ROUND((($F$1*B231)/30),2),(IF(C221+C223&gt;0,ROUND((($F$1*B231)/30),2)-(IF(C221&gt;0,ROUND(((C221-(C221*(B227+C227+D227)))/30),2),0)+IF(C223&gt;0,ROUND((C223/30),2),0)))),0)),0)</f>
        <v>0</v>
      </c>
      <c r="D224" s="244"/>
      <c r="E224" s="244">
        <f>IF(E223&gt;0,IF(ROUND(E221-((E221/30)*E222),2)-H226+O226&gt;0,ROUND(E221-((E221/30)*E222),2)-H226+O226,0),0)</f>
        <v>0</v>
      </c>
      <c r="F224" s="137"/>
      <c r="G224" s="139"/>
      <c r="H224" s="672" t="s">
        <v>183</v>
      </c>
      <c r="I224" s="673"/>
      <c r="J224" s="673"/>
      <c r="K224" s="673"/>
      <c r="L224" s="673"/>
      <c r="M224" s="674" t="s">
        <v>184</v>
      </c>
      <c r="N224" s="675"/>
      <c r="O224" s="260" t="s">
        <v>185</v>
      </c>
      <c r="P224" s="261" t="s">
        <v>186</v>
      </c>
      <c r="Q224" s="676" t="s">
        <v>187</v>
      </c>
      <c r="R224" s="677"/>
      <c r="S224" s="262">
        <f>ROUND((IF(S221-S222&gt;=0,S221-S222,0)+S223),0.1)</f>
        <v>0</v>
      </c>
      <c r="T224" s="263" t="str">
        <f>L$8</f>
        <v>styczeń</v>
      </c>
      <c r="U224" s="264" t="str">
        <f>N$8</f>
        <v>2011 r.</v>
      </c>
    </row>
    <row r="225" spans="1:21" ht="69.75" customHeight="1" thickBot="1" thickTop="1">
      <c r="A225" s="568"/>
      <c r="B225" s="699" t="s">
        <v>188</v>
      </c>
      <c r="C225" s="700"/>
      <c r="D225" s="700"/>
      <c r="E225" s="701"/>
      <c r="F225" s="265" t="s">
        <v>189</v>
      </c>
      <c r="G225" s="266" t="s">
        <v>190</v>
      </c>
      <c r="H225" s="267" t="s">
        <v>191</v>
      </c>
      <c r="I225" s="268" t="s">
        <v>192</v>
      </c>
      <c r="J225" s="269" t="s">
        <v>193</v>
      </c>
      <c r="K225" s="238" t="s">
        <v>194</v>
      </c>
      <c r="L225" s="270" t="s">
        <v>195</v>
      </c>
      <c r="M225" s="198" t="s">
        <v>196</v>
      </c>
      <c r="N225" s="271" t="s">
        <v>197</v>
      </c>
      <c r="O225" s="294" t="s">
        <v>198</v>
      </c>
      <c r="P225" s="273" t="s">
        <v>199</v>
      </c>
      <c r="Q225" s="340" t="s">
        <v>200</v>
      </c>
      <c r="R225" s="275" t="s">
        <v>201</v>
      </c>
      <c r="S225" s="276">
        <f>IF(ROUND((P202-P231-C231),0.1)&gt;0,ROUND((P202-P231-C231),0.1),0)</f>
        <v>0</v>
      </c>
      <c r="T225" s="277"/>
      <c r="U225" s="278"/>
    </row>
    <row r="226" spans="1:21" ht="81" customHeight="1" thickTop="1">
      <c r="A226" s="568"/>
      <c r="B226" s="279" t="s">
        <v>202</v>
      </c>
      <c r="C226" s="279" t="s">
        <v>203</v>
      </c>
      <c r="D226" s="279" t="s">
        <v>204</v>
      </c>
      <c r="E226" s="279" t="s">
        <v>205</v>
      </c>
      <c r="F226" s="279" t="s">
        <v>206</v>
      </c>
      <c r="G226" s="280">
        <f>ROUND((H226*G228),2)</f>
        <v>0</v>
      </c>
      <c r="H226" s="281">
        <f>Q203+O213</f>
        <v>0</v>
      </c>
      <c r="I226" s="282">
        <f>Q203+O213</f>
        <v>0</v>
      </c>
      <c r="J226" s="282">
        <f>Q203+O213</f>
        <v>0</v>
      </c>
      <c r="K226" s="282">
        <f>Q203+O213</f>
        <v>0</v>
      </c>
      <c r="L226" s="283">
        <f>Q203+H213+I213-O226+O213</f>
        <v>0</v>
      </c>
      <c r="M226" s="284">
        <f>IF(D221&gt;0,IF(D221&lt;$U$1,ROUND((($E$1/$U$1)*D221),2),$E$1))+IF(K218&gt;0,K218,0)</f>
        <v>0</v>
      </c>
      <c r="N226" s="285">
        <f>M226</f>
        <v>0</v>
      </c>
      <c r="O226" s="286">
        <f>SUM(H229:J229)</f>
        <v>0</v>
      </c>
      <c r="P226" s="287">
        <f>IF(P227&gt;0,1,0)</f>
        <v>0</v>
      </c>
      <c r="Q226" s="288">
        <f>ROUND((H226-O213-P231+H213+I213)*$R$3,2)</f>
        <v>0</v>
      </c>
      <c r="R226" s="681" t="s">
        <v>207</v>
      </c>
      <c r="S226" s="683" t="s">
        <v>311</v>
      </c>
      <c r="T226" s="289"/>
      <c r="U226" s="278"/>
    </row>
    <row r="227" spans="1:21" ht="38.25" customHeight="1">
      <c r="A227" s="568"/>
      <c r="B227" s="158">
        <f>IF(H226&gt;0,B$2,0)</f>
        <v>0</v>
      </c>
      <c r="C227" s="158">
        <f>IF(I226&gt;0,H$4,0)</f>
        <v>0</v>
      </c>
      <c r="D227" s="158">
        <f>IF(J226&gt;0,F$2,0)</f>
        <v>0</v>
      </c>
      <c r="E227" s="158" t="s">
        <v>208</v>
      </c>
      <c r="F227" s="290" t="s">
        <v>209</v>
      </c>
      <c r="G227" s="291">
        <v>0</v>
      </c>
      <c r="H227" s="685" t="s">
        <v>210</v>
      </c>
      <c r="I227" s="686"/>
      <c r="J227" s="686"/>
      <c r="K227" s="686"/>
      <c r="L227" s="686"/>
      <c r="M227" s="292" t="s">
        <v>211</v>
      </c>
      <c r="N227" s="293" t="s">
        <v>212</v>
      </c>
      <c r="O227" s="294" t="s">
        <v>213</v>
      </c>
      <c r="P227" s="52">
        <f>IF(I226&lt;$E$1,IF(B231=1,IF(T208=0,ROUND((I226*$L$2),2),0),0),ROUND((I226*$L$2),2))</f>
        <v>0</v>
      </c>
      <c r="Q227" s="295" t="s">
        <v>214</v>
      </c>
      <c r="R227" s="682"/>
      <c r="S227" s="684"/>
      <c r="T227" s="289"/>
      <c r="U227" s="278"/>
    </row>
    <row r="228" spans="1:21" ht="42.75" customHeight="1" thickBot="1">
      <c r="A228" s="568"/>
      <c r="B228" s="158">
        <f>IF(H226&gt;0,B$2,0)</f>
        <v>0</v>
      </c>
      <c r="C228" s="158">
        <f>IF(I226&gt;0,D$2,0)</f>
        <v>0</v>
      </c>
      <c r="D228" s="158" t="s">
        <v>208</v>
      </c>
      <c r="E228" s="158">
        <f>IF(K226&gt;0,H$2,0)</f>
        <v>0</v>
      </c>
      <c r="F228" s="158">
        <f>IF(L226&gt;0,J$2,0)</f>
        <v>0</v>
      </c>
      <c r="G228" s="158">
        <f>IF(G227&gt;0,L$1,0)</f>
        <v>0</v>
      </c>
      <c r="H228" s="296" t="s">
        <v>215</v>
      </c>
      <c r="I228" s="297" t="s">
        <v>215</v>
      </c>
      <c r="J228" s="297" t="s">
        <v>215</v>
      </c>
      <c r="K228" s="298" t="s">
        <v>209</v>
      </c>
      <c r="L228" s="299" t="s">
        <v>215</v>
      </c>
      <c r="M228" s="300">
        <f>ROUND(M226*(B$2+B$2),2)</f>
        <v>0</v>
      </c>
      <c r="N228" s="301">
        <f>ROUND(N226*(D$2+H$4),2)</f>
        <v>0</v>
      </c>
      <c r="O228" s="302">
        <f>H231+I231+K231+G226</f>
        <v>0</v>
      </c>
      <c r="P228" s="303" t="s">
        <v>216</v>
      </c>
      <c r="Q228" s="304">
        <f>ROUND((L226*J$2),2)</f>
        <v>0</v>
      </c>
      <c r="R228" s="305" t="s">
        <v>217</v>
      </c>
      <c r="S228" s="684"/>
      <c r="T228" s="289"/>
      <c r="U228" s="278"/>
    </row>
    <row r="229" spans="1:21" ht="53.25" customHeight="1" thickBot="1" thickTop="1">
      <c r="A229" s="568"/>
      <c r="B229" s="141">
        <f>IF(B227+B228&gt;0,1,0)</f>
        <v>0</v>
      </c>
      <c r="C229" s="141">
        <f>IF(C227+C228&gt;0,1,0)</f>
        <v>0</v>
      </c>
      <c r="D229" s="141">
        <f>IF(D227&gt;0,1,0)</f>
        <v>0</v>
      </c>
      <c r="E229" s="141">
        <f>IF(E228&gt;0,1,0)</f>
        <v>0</v>
      </c>
      <c r="F229" s="141">
        <f>IF(F228&gt;0,1,0)</f>
        <v>0</v>
      </c>
      <c r="G229" s="141">
        <f>IF(G228&gt;0,1,0)</f>
        <v>0</v>
      </c>
      <c r="H229" s="306">
        <f>ROUND(H226*B227,2)</f>
        <v>0</v>
      </c>
      <c r="I229" s="307">
        <f>ROUND(I226*C227,2)</f>
        <v>0</v>
      </c>
      <c r="J229" s="307">
        <f>ROUND(J226*D227,2)</f>
        <v>0</v>
      </c>
      <c r="K229" s="244" t="s">
        <v>209</v>
      </c>
      <c r="L229" s="307">
        <f>IF(S220&gt;=ROUND(L226*F228,2),ROUND(L226*F228,2),S220)</f>
        <v>0</v>
      </c>
      <c r="M229" s="687" t="s">
        <v>218</v>
      </c>
      <c r="N229" s="688"/>
      <c r="O229" s="689" t="s">
        <v>219</v>
      </c>
      <c r="P229" s="308">
        <f>IF(P230&gt;0,1,0)</f>
        <v>0</v>
      </c>
      <c r="Q229" s="309" t="s">
        <v>220</v>
      </c>
      <c r="R229" s="310">
        <f>IF(B206=G206,H207+I207+J207+L207+O207+R207+IF(K207&gt;0,ROUND((K207/K205),2),0),0)+IF(B206&lt;G206,IF(B206&gt;0,ROUND((((H207+J207)/B206)*(G206-B219)),2)+IF(K207&gt;0,ROUND((K207/K205),2),0)+I207+L207+O207+R207,0),0)</f>
        <v>0</v>
      </c>
      <c r="S229" s="235">
        <f>IF(S221-S222&lt;0,S222-S221,0)</f>
        <v>0</v>
      </c>
      <c r="T229" s="289"/>
      <c r="U229" s="278"/>
    </row>
    <row r="230" spans="1:22" ht="63" customHeight="1" thickBot="1" thickTop="1">
      <c r="A230" s="568"/>
      <c r="B230" s="311" t="s">
        <v>221</v>
      </c>
      <c r="C230" s="311" t="s">
        <v>222</v>
      </c>
      <c r="D230" s="311" t="s">
        <v>34</v>
      </c>
      <c r="E230" s="146" t="s">
        <v>223</v>
      </c>
      <c r="F230" s="312" t="s">
        <v>224</v>
      </c>
      <c r="G230" s="139">
        <f>IF(Q226&gt;Q220,Q226-Q220,0)</f>
        <v>0</v>
      </c>
      <c r="H230" s="313" t="s">
        <v>225</v>
      </c>
      <c r="I230" s="314" t="s">
        <v>225</v>
      </c>
      <c r="J230" s="298" t="s">
        <v>209</v>
      </c>
      <c r="K230" s="315" t="s">
        <v>225</v>
      </c>
      <c r="L230" s="316" t="s">
        <v>226</v>
      </c>
      <c r="M230" s="317" t="s">
        <v>227</v>
      </c>
      <c r="N230" s="318" t="s">
        <v>228</v>
      </c>
      <c r="O230" s="690"/>
      <c r="P230" s="319">
        <f>ROUND(N$2*H226,2)</f>
        <v>0</v>
      </c>
      <c r="Q230" s="320">
        <f>IF(D221&gt;0,$U$2,0)</f>
        <v>0</v>
      </c>
      <c r="R230" s="321" t="s">
        <v>229</v>
      </c>
      <c r="S230" s="322" t="s">
        <v>230</v>
      </c>
      <c r="T230" s="691" t="s">
        <v>231</v>
      </c>
      <c r="U230" s="702"/>
      <c r="V230" s="323">
        <f>IF(ISBLANK(AM202),0,IF(IF(AF217&gt;=AI$2,AI$2,AF217)&gt;0,IF(AF217&gt;=AI$2,AI$2,AF217),0))</f>
        <v>0</v>
      </c>
    </row>
    <row r="231" spans="1:22" ht="42" customHeight="1" thickBot="1" thickTop="1">
      <c r="A231" s="570"/>
      <c r="B231" s="324">
        <f>IF(ISBLANK(T203),0,1)</f>
        <v>0</v>
      </c>
      <c r="C231" s="324">
        <f>IF(ISBLANK(T203),0,IF(IF(M218&gt;=P$2,P$2,M218)&gt;0,IF(M218&gt;=P$2,P$2,M218),0))</f>
        <v>0</v>
      </c>
      <c r="D231" s="324">
        <f>IF(ISBLANK(T203),0,S$1)</f>
        <v>0</v>
      </c>
      <c r="E231" s="325">
        <f>IF(G206&gt;0,$N$3,0)</f>
        <v>0</v>
      </c>
      <c r="F231" s="326">
        <f>O226+O228+P227+P230+L229+S224</f>
        <v>0</v>
      </c>
      <c r="G231" s="327">
        <f>IF(G230&gt;0,1,0)</f>
        <v>0</v>
      </c>
      <c r="H231" s="328">
        <f>ROUND(H226*B227,2)</f>
        <v>0</v>
      </c>
      <c r="I231" s="329">
        <f>ROUND(I226*C228,2)</f>
        <v>0</v>
      </c>
      <c r="J231" s="182" t="s">
        <v>209</v>
      </c>
      <c r="K231" s="330">
        <f>ROUND(K226*E228,2)</f>
        <v>0</v>
      </c>
      <c r="L231" s="185">
        <f>IF(S220&gt;=ROUND((H226-O213-P231+H213+I213)*$R$3,2),ROUND((H226-O213-P231+H213+I213)*$R$3,2),S220)</f>
        <v>0</v>
      </c>
      <c r="M231" s="179">
        <f>O226+O228</f>
        <v>0</v>
      </c>
      <c r="N231" s="331">
        <f>M231+L229</f>
        <v>0</v>
      </c>
      <c r="O231" s="332">
        <f>SUM(M228:N228)</f>
        <v>0</v>
      </c>
      <c r="P231" s="333">
        <f>ROUND(Q203*B227,2)+ROUND(Q203*C227,2)+ROUND(Q203*D227,2)</f>
        <v>0</v>
      </c>
      <c r="Q231" s="334">
        <f>IF(D221&gt;0,ROUND(($U$2*J$2),2),0)</f>
        <v>0</v>
      </c>
      <c r="R231" s="335">
        <f>IF(B206&gt;=G206/2,IF(B206=G206,H207+I207+J207+L207+O207+P207+R207+IF(K207&gt;0,ROUND((K207/K205),2),0),ROUND((((H207+J207+L207)/B206)*(G206-B219)),2)+IF(K207&gt;0,ROUND((K207/K205),2),0)+I207+O207+P207+R207),0)</f>
        <v>0</v>
      </c>
      <c r="S231" s="336">
        <f>IF(P202-O226-S224-L229&gt;0,P202-O226-S224-L229,0)</f>
        <v>0</v>
      </c>
      <c r="T231" s="693" t="s">
        <v>232</v>
      </c>
      <c r="U231" s="703"/>
      <c r="V231" s="323">
        <f>IF(ISBLANK(AM203),0,IF(IF(AF218&gt;=AJ$2,AJ$2,AF218)&gt;0,IF(AF218&gt;=AJ$2,AJ$2,AF218),0))</f>
        <v>0</v>
      </c>
    </row>
    <row r="232" ht="24" customHeight="1" thickTop="1"/>
    <row r="233" spans="1:23" ht="33" customHeight="1" thickBot="1">
      <c r="A233" s="111" t="s">
        <v>72</v>
      </c>
      <c r="B233" s="112" t="s">
        <v>73</v>
      </c>
      <c r="C233" s="113"/>
      <c r="D233" s="113"/>
      <c r="E233" s="114"/>
      <c r="F233" s="553" t="s">
        <v>74</v>
      </c>
      <c r="G233" s="555" t="s">
        <v>75</v>
      </c>
      <c r="H233" s="557" t="s">
        <v>76</v>
      </c>
      <c r="I233" s="557"/>
      <c r="J233" s="558"/>
      <c r="K233" s="559"/>
      <c r="L233" s="560"/>
      <c r="M233" s="560"/>
      <c r="N233" s="560"/>
      <c r="O233" s="561"/>
      <c r="P233" s="559"/>
      <c r="Q233" s="560"/>
      <c r="R233" s="560"/>
      <c r="S233" s="560"/>
      <c r="T233" s="565" t="s">
        <v>77</v>
      </c>
      <c r="U233" s="566"/>
      <c r="V233" s="102"/>
      <c r="W233" s="115"/>
    </row>
    <row r="234" spans="1:23" ht="44.25" customHeight="1" thickBot="1" thickTop="1">
      <c r="A234" s="567">
        <f>A202+1</f>
        <v>8</v>
      </c>
      <c r="B234" s="571" t="s">
        <v>79</v>
      </c>
      <c r="C234" s="571" t="s">
        <v>80</v>
      </c>
      <c r="D234" s="573" t="s">
        <v>81</v>
      </c>
      <c r="E234" s="573"/>
      <c r="F234" s="554"/>
      <c r="G234" s="556"/>
      <c r="H234" s="574" t="s">
        <v>82</v>
      </c>
      <c r="I234" s="574"/>
      <c r="J234" s="574"/>
      <c r="K234" s="574"/>
      <c r="L234" s="575">
        <f>P234+S240</f>
        <v>0</v>
      </c>
      <c r="M234" s="576"/>
      <c r="N234" s="577" t="s">
        <v>83</v>
      </c>
      <c r="O234" s="578"/>
      <c r="P234" s="575">
        <f>Q235+M240</f>
        <v>0</v>
      </c>
      <c r="Q234" s="576"/>
      <c r="R234" s="119"/>
      <c r="S234" s="120"/>
      <c r="T234" s="121"/>
      <c r="U234" s="122"/>
      <c r="V234" s="102"/>
      <c r="W234" s="115"/>
    </row>
    <row r="235" spans="1:23" ht="36.75" customHeight="1">
      <c r="A235" s="568"/>
      <c r="B235" s="572"/>
      <c r="C235" s="572"/>
      <c r="D235" s="124" t="s">
        <v>85</v>
      </c>
      <c r="E235" s="124" t="s">
        <v>86</v>
      </c>
      <c r="F235" s="554"/>
      <c r="G235" s="556"/>
      <c r="H235" s="562" t="s">
        <v>87</v>
      </c>
      <c r="I235" s="563"/>
      <c r="J235" s="563"/>
      <c r="K235" s="563"/>
      <c r="L235" s="563"/>
      <c r="M235" s="563"/>
      <c r="N235" s="563"/>
      <c r="O235" s="563"/>
      <c r="P235" s="564"/>
      <c r="Q235" s="579">
        <f>SUM(H239:S239)</f>
        <v>0</v>
      </c>
      <c r="R235" s="580"/>
      <c r="S235" s="125"/>
      <c r="T235" s="581"/>
      <c r="U235" s="582"/>
      <c r="V235" s="102"/>
      <c r="W235" s="115"/>
    </row>
    <row r="236" spans="1:23" ht="38.25" customHeight="1">
      <c r="A236" s="568"/>
      <c r="B236" s="572"/>
      <c r="C236" s="126"/>
      <c r="D236" s="124" t="s">
        <v>89</v>
      </c>
      <c r="E236" s="124" t="s">
        <v>89</v>
      </c>
      <c r="F236" s="554"/>
      <c r="G236" s="127"/>
      <c r="H236" s="128" t="s">
        <v>90</v>
      </c>
      <c r="I236" s="129" t="s">
        <v>91</v>
      </c>
      <c r="J236" s="129" t="s">
        <v>92</v>
      </c>
      <c r="K236" s="130" t="s">
        <v>93</v>
      </c>
      <c r="L236" s="583" t="s">
        <v>94</v>
      </c>
      <c r="M236" s="583" t="s">
        <v>95</v>
      </c>
      <c r="N236" s="583" t="s">
        <v>96</v>
      </c>
      <c r="O236" s="585" t="s">
        <v>97</v>
      </c>
      <c r="P236" s="583" t="s">
        <v>98</v>
      </c>
      <c r="Q236" s="587" t="s">
        <v>99</v>
      </c>
      <c r="R236" s="589" t="s">
        <v>100</v>
      </c>
      <c r="S236" s="591" t="s">
        <v>101</v>
      </c>
      <c r="T236" s="581"/>
      <c r="U236" s="582"/>
      <c r="V236" s="102"/>
      <c r="W236" s="115"/>
    </row>
    <row r="237" spans="1:23" ht="30" customHeight="1">
      <c r="A237" s="568"/>
      <c r="B237" s="572"/>
      <c r="C237" s="131"/>
      <c r="D237" s="131"/>
      <c r="E237" s="131"/>
      <c r="F237" s="554"/>
      <c r="G237" s="127"/>
      <c r="H237" s="132" t="s">
        <v>103</v>
      </c>
      <c r="I237" s="133" t="s">
        <v>104</v>
      </c>
      <c r="J237" s="134">
        <v>0</v>
      </c>
      <c r="K237" s="135">
        <v>1</v>
      </c>
      <c r="L237" s="584"/>
      <c r="M237" s="584"/>
      <c r="N237" s="584"/>
      <c r="O237" s="586"/>
      <c r="P237" s="584"/>
      <c r="Q237" s="588"/>
      <c r="R237" s="590"/>
      <c r="S237" s="592"/>
      <c r="T237" s="581"/>
      <c r="U237" s="582"/>
      <c r="V237" s="102"/>
      <c r="W237" s="115"/>
    </row>
    <row r="238" spans="1:21" ht="51" customHeight="1">
      <c r="A238" s="568"/>
      <c r="B238" s="137">
        <f>G238</f>
        <v>0</v>
      </c>
      <c r="C238" s="137"/>
      <c r="D238" s="137"/>
      <c r="E238" s="138"/>
      <c r="F238" s="138"/>
      <c r="G238" s="139">
        <f>B$1*B263</f>
        <v>0</v>
      </c>
      <c r="H238" s="140">
        <f aca="true" t="shared" si="21" ref="H238:S238">IF(H239&gt;0,1,0)</f>
        <v>0</v>
      </c>
      <c r="I238" s="141">
        <f t="shared" si="21"/>
        <v>0</v>
      </c>
      <c r="J238" s="141">
        <f t="shared" si="21"/>
        <v>0</v>
      </c>
      <c r="K238" s="142">
        <f t="shared" si="21"/>
        <v>0</v>
      </c>
      <c r="L238" s="142">
        <f t="shared" si="21"/>
        <v>0</v>
      </c>
      <c r="M238" s="142">
        <f t="shared" si="21"/>
        <v>0</v>
      </c>
      <c r="N238" s="142">
        <f t="shared" si="21"/>
        <v>0</v>
      </c>
      <c r="O238" s="141">
        <f t="shared" si="21"/>
        <v>0</v>
      </c>
      <c r="P238" s="142">
        <f t="shared" si="21"/>
        <v>0</v>
      </c>
      <c r="Q238" s="142">
        <f t="shared" si="21"/>
        <v>0</v>
      </c>
      <c r="R238" s="143">
        <f t="shared" si="21"/>
        <v>0</v>
      </c>
      <c r="S238" s="144">
        <f t="shared" si="21"/>
        <v>0</v>
      </c>
      <c r="T238" s="593"/>
      <c r="U238" s="594"/>
    </row>
    <row r="239" spans="1:22" ht="49.5" customHeight="1" thickBot="1">
      <c r="A239" s="568"/>
      <c r="B239" s="595" t="s">
        <v>106</v>
      </c>
      <c r="C239" s="595" t="s">
        <v>107</v>
      </c>
      <c r="D239" s="596" t="s">
        <v>108</v>
      </c>
      <c r="E239" s="148" t="s">
        <v>109</v>
      </c>
      <c r="F239" s="149"/>
      <c r="G239" s="597" t="s">
        <v>110</v>
      </c>
      <c r="H239" s="150">
        <f>IF(B238+B242+B249+B251+C248+D242+F239&gt;0,IF(B254&gt;0,B254-(IF(E242+F242+G242+B246+C246+D246+E246+F246&gt;0,ROUND((B254/30)*IF(E242+F242+G242+B246+C246+D246+E246+F246&lt;31,E242+F242+G242+B246+C246+D246+E246+F246,30),2),0)+ROUND(((B254/G238)*(B242+B249+B251+C248+D242)),2)),0),0)+IF(B238&gt;G238,IF(B254&gt;0,(B238-G238)*B256,0),0)+IF(B255&gt;0,B255*B238,0)-IF(IF(B238+B242+B249+B251+C248+D242+F239&gt;0,IF(B254&gt;0,B254-(IF(E242+F242+G242+B246+C246+D246+E246+F246&gt;0,ROUND((B254/30)*IF(E242+F242+G242+B246+C246+D246+E246+F246&lt;31,E242+F242+G242+B246+C246+D246+E246+F246,30),2),0)+ROUND(((B254/G238)*(B242+B249+B251+C248+D242)),2)),0),0)&lt;0,IF(B238+B242+B249+B251+C248+D242+F239&gt;0,IF(B254&gt;0,B254-(IF(E242+F242+G242+B246+C246+D246+E246+F246&gt;0,ROUND((B254/30)*IF(E242+F242+G242+B246+C246+D246+E246+F246&lt;31,E242+F242+G242+B246+C246+D246+E246+F246,30),2),0)+ROUND(((B254/G238)*(B242+B249+B251+C248+D242)),2)),0),0),0)</f>
        <v>0</v>
      </c>
      <c r="I239" s="151">
        <f>ROUND(D238*ROUND(B256*150%,2)+E238*ROUND(B256*200%,2),2)</f>
        <v>0</v>
      </c>
      <c r="J239" s="151">
        <f>ROUND((J237*H239),2)</f>
        <v>0</v>
      </c>
      <c r="K239" s="151"/>
      <c r="L239" s="151">
        <f>IF(C238&gt;0,C238*ROUND(B256*U$3,2),0)+IF(U$3=0,IF(C238&gt;0,C238*ROUND(20%*ROUND(E$1/G238,2),2),0))</f>
        <v>0</v>
      </c>
      <c r="M239" s="151">
        <f>IF(B242&gt;0,ROUND((B242*C251),2),0)</f>
        <v>0</v>
      </c>
      <c r="N239" s="151">
        <f>IF(B238+D238+E238+F238&gt;0,ROUND((((H239+I239+J239+L239+O239)/(B238+D238+E238+F238))*D242),2),B256*D242)</f>
        <v>0</v>
      </c>
      <c r="O239" s="151">
        <f>ROUND((F238*B256),2)</f>
        <v>0</v>
      </c>
      <c r="P239" s="151">
        <f>IF(C242&gt;0,ROUND((D251/($I$1*8*B263)),2)*C242,0)</f>
        <v>0</v>
      </c>
      <c r="Q239" s="151"/>
      <c r="R239" s="152"/>
      <c r="S239" s="153">
        <f>IF(G256&gt;500,G256-500,0)+IF(F256&gt;190,F256-190,0)</f>
        <v>0</v>
      </c>
      <c r="T239" s="593"/>
      <c r="U239" s="594"/>
      <c r="V239" s="154"/>
    </row>
    <row r="240" spans="1:21" ht="57" customHeight="1">
      <c r="A240" s="568"/>
      <c r="B240" s="554"/>
      <c r="C240" s="554"/>
      <c r="D240" s="554"/>
      <c r="E240" s="599" t="s">
        <v>112</v>
      </c>
      <c r="F240" s="599"/>
      <c r="G240" s="598"/>
      <c r="H240" s="600" t="s">
        <v>113</v>
      </c>
      <c r="I240" s="601"/>
      <c r="J240" s="601"/>
      <c r="K240" s="601"/>
      <c r="L240" s="601"/>
      <c r="M240" s="602">
        <f>H245+I245+M241</f>
        <v>0</v>
      </c>
      <c r="N240" s="603"/>
      <c r="O240" s="604" t="s">
        <v>114</v>
      </c>
      <c r="P240" s="604"/>
      <c r="Q240" s="604"/>
      <c r="R240" s="604"/>
      <c r="S240" s="156">
        <f>S241+O245</f>
        <v>0</v>
      </c>
      <c r="T240" s="605"/>
      <c r="U240" s="606"/>
    </row>
    <row r="241" spans="1:21" ht="38.25" customHeight="1">
      <c r="A241" s="568"/>
      <c r="B241" s="157"/>
      <c r="C241" s="131"/>
      <c r="D241" s="131"/>
      <c r="E241" s="158">
        <v>0.8</v>
      </c>
      <c r="F241" s="158">
        <v>1</v>
      </c>
      <c r="G241" s="159">
        <v>0.8</v>
      </c>
      <c r="H241" s="607" t="s">
        <v>115</v>
      </c>
      <c r="I241" s="608"/>
      <c r="J241" s="609" t="s">
        <v>116</v>
      </c>
      <c r="K241" s="610"/>
      <c r="L241" s="610"/>
      <c r="M241" s="611">
        <f>SUM(J245:N245)</f>
        <v>0</v>
      </c>
      <c r="N241" s="612"/>
      <c r="O241" s="160" t="s">
        <v>117</v>
      </c>
      <c r="P241" s="613" t="s">
        <v>118</v>
      </c>
      <c r="Q241" s="614"/>
      <c r="R241" s="615"/>
      <c r="S241" s="161">
        <f>SUM(P245:S245)</f>
        <v>0</v>
      </c>
      <c r="T241" s="616"/>
      <c r="U241" s="617"/>
    </row>
    <row r="242" spans="1:21" ht="40.5" customHeight="1">
      <c r="A242" s="568"/>
      <c r="B242" s="137"/>
      <c r="C242" s="137"/>
      <c r="D242" s="137"/>
      <c r="E242" s="137"/>
      <c r="F242" s="137"/>
      <c r="G242" s="139"/>
      <c r="H242" s="618" t="s">
        <v>119</v>
      </c>
      <c r="I242" s="162"/>
      <c r="J242" s="620" t="s">
        <v>120</v>
      </c>
      <c r="K242" s="595" t="s">
        <v>121</v>
      </c>
      <c r="L242" s="595" t="s">
        <v>122</v>
      </c>
      <c r="M242" s="595" t="s">
        <v>123</v>
      </c>
      <c r="N242" s="163" t="s">
        <v>124</v>
      </c>
      <c r="O242" s="622" t="s">
        <v>125</v>
      </c>
      <c r="P242" s="624" t="s">
        <v>126</v>
      </c>
      <c r="Q242" s="584" t="s">
        <v>127</v>
      </c>
      <c r="R242" s="634" t="s">
        <v>128</v>
      </c>
      <c r="S242" s="633" t="s">
        <v>129</v>
      </c>
      <c r="T242" s="164"/>
      <c r="U242" s="165"/>
    </row>
    <row r="243" spans="1:21" ht="39.75" customHeight="1">
      <c r="A243" s="568"/>
      <c r="B243" s="571" t="s">
        <v>110</v>
      </c>
      <c r="C243" s="571" t="s">
        <v>130</v>
      </c>
      <c r="D243" s="571" t="s">
        <v>131</v>
      </c>
      <c r="E243" s="571" t="s">
        <v>132</v>
      </c>
      <c r="F243" s="571" t="s">
        <v>110</v>
      </c>
      <c r="G243" s="166" t="s">
        <v>133</v>
      </c>
      <c r="H243" s="619"/>
      <c r="I243" s="167"/>
      <c r="J243" s="621"/>
      <c r="K243" s="554"/>
      <c r="L243" s="554"/>
      <c r="M243" s="554"/>
      <c r="N243" s="168" t="s">
        <v>134</v>
      </c>
      <c r="O243" s="623"/>
      <c r="P243" s="624"/>
      <c r="Q243" s="584"/>
      <c r="R243" s="634"/>
      <c r="S243" s="633"/>
      <c r="T243" s="627">
        <f>I255-S256-P255</f>
        <v>0</v>
      </c>
      <c r="U243" s="628"/>
    </row>
    <row r="244" spans="1:21" ht="35.25" customHeight="1">
      <c r="A244" s="568"/>
      <c r="B244" s="572"/>
      <c r="C244" s="572"/>
      <c r="D244" s="572"/>
      <c r="E244" s="572"/>
      <c r="F244" s="572"/>
      <c r="G244" s="139"/>
      <c r="H244" s="169">
        <f aca="true" t="shared" si="22" ref="H244:M244">IF(H245&gt;0,1,0)</f>
        <v>0</v>
      </c>
      <c r="I244" s="170">
        <f t="shared" si="22"/>
        <v>0</v>
      </c>
      <c r="J244" s="171">
        <f t="shared" si="22"/>
        <v>0</v>
      </c>
      <c r="K244" s="172">
        <f t="shared" si="22"/>
        <v>0</v>
      </c>
      <c r="L244" s="173">
        <f t="shared" si="22"/>
        <v>0</v>
      </c>
      <c r="M244" s="173">
        <f t="shared" si="22"/>
        <v>0</v>
      </c>
      <c r="N244" s="174">
        <v>0</v>
      </c>
      <c r="O244" s="175">
        <f>IF(O245&gt;0,1,0)</f>
        <v>0</v>
      </c>
      <c r="P244" s="171">
        <f>IF(P245&gt;0,1,0)</f>
        <v>0</v>
      </c>
      <c r="Q244" s="173">
        <f>IF(Q245&gt;0,1,0)</f>
        <v>0</v>
      </c>
      <c r="R244" s="173">
        <f>IF(R245&gt;0,1,0)</f>
        <v>0</v>
      </c>
      <c r="S244" s="176">
        <f>IF(S245&gt;0,1,0)</f>
        <v>0</v>
      </c>
      <c r="T244" s="627"/>
      <c r="U244" s="628"/>
    </row>
    <row r="245" spans="1:21" ht="36" customHeight="1" thickBot="1">
      <c r="A245" s="568"/>
      <c r="B245" s="177">
        <v>1</v>
      </c>
      <c r="C245" s="177">
        <v>0.8</v>
      </c>
      <c r="D245" s="572"/>
      <c r="E245" s="572"/>
      <c r="F245" s="177">
        <v>0.7</v>
      </c>
      <c r="G245" s="178">
        <v>0</v>
      </c>
      <c r="H245" s="179">
        <f>IF(E242&gt;0,ROUND((C256*E241),2)*E242,0)+IF(F242&gt;0,C256*F242,0)</f>
        <v>0</v>
      </c>
      <c r="I245" s="180"/>
      <c r="J245" s="181">
        <f>IF(G238&gt;0,IF(B238&gt;=G238,E251-((E251/22)*F251),(E251-(ROUND(((E251/22)*(((G238-B238)/8*B263)+F251)),2))))-IF(B238=0,0,0)-IF(B238&lt;=F251*8*B263,E251-ROUND(((E251/22)*(((G238-B238)/8*B263)+F251)),2),0),0)</f>
        <v>0</v>
      </c>
      <c r="K245" s="182">
        <f>G254-R245</f>
        <v>0</v>
      </c>
      <c r="L245" s="182">
        <f>IF(F256&gt;0,IF(F256&lt;190,F256,190),0)</f>
        <v>0</v>
      </c>
      <c r="M245" s="182"/>
      <c r="N245" s="183">
        <f>IF(N244&gt;0,L$3*B263*N244,0)</f>
        <v>0</v>
      </c>
      <c r="O245" s="184">
        <f>IF(C263&lt;=$P$2,IF(G256&gt;0,IF(G256&lt;500,G256,500),0),0)</f>
        <v>0</v>
      </c>
      <c r="P245" s="181">
        <f>IF(G251&gt;0,ROUND(((G251/G238)*B238),2),0)+G250</f>
        <v>0</v>
      </c>
      <c r="Q245" s="182">
        <f>IF(F249&gt;0,ROUND((F249/G238)*B238,2),0)</f>
        <v>0</v>
      </c>
      <c r="R245" s="182">
        <f>IF(G254&gt;0,IF(G254&lt;380,G254,380),0)</f>
        <v>0</v>
      </c>
      <c r="S245" s="185"/>
      <c r="T245" s="627"/>
      <c r="U245" s="628"/>
    </row>
    <row r="246" spans="1:21" ht="60" customHeight="1" thickBot="1" thickTop="1">
      <c r="A246" s="568"/>
      <c r="B246" s="137"/>
      <c r="C246" s="137"/>
      <c r="D246" s="137"/>
      <c r="E246" s="137"/>
      <c r="F246" s="137"/>
      <c r="G246" s="139">
        <f>IF(L234+L247-Q245-P245-K255-J245&gt;$F$1,IF(G245&gt;0,IF(((H255-S256-L261-L255-J245-K245-L245-O258+P263)*(100%-G245))&gt;=(($F$1*B263)-IF(ROUND(((ROUND(($F$1-C263),0.1)*E263)-D263),0.1)&gt;0,ROUND(((ROUND(($F$1-C263),0.1)*E263)-D263),0.1),0)),((H255-S256-L261-L255-J245-K245-L245-O258+P263)*G245)))+IF(G245&gt;0,IF(((H255-S256-L261-L255-J245-K245-L245-O258+P263)*(100%-G245))&lt;(($F$1*B263)-IF(ROUND(((ROUND(($F$1-C263),0.1)*E263)-D263),0.1)&gt;0,ROUND(((ROUND(($F$1-C263),0.1)*E263)-D263),0.1),0)),(H255-S256-L261-L255-J245-K245-L245-O258+P263)-(($F$1*B263)-IF(ROUND(((ROUND(($F$1-C263),0.1)*E263)-D263),0.1)&gt;0,ROUND(((ROUND(($F$1-C263),0.1)*E263)-D263),0.1),0)))),0)</f>
        <v>0</v>
      </c>
      <c r="H246" s="629" t="s">
        <v>135</v>
      </c>
      <c r="I246" s="630"/>
      <c r="J246" s="630"/>
      <c r="K246" s="575">
        <f>L247+P246</f>
        <v>0</v>
      </c>
      <c r="L246" s="576"/>
      <c r="M246" s="631" t="s">
        <v>136</v>
      </c>
      <c r="N246" s="632"/>
      <c r="O246" s="632"/>
      <c r="P246" s="575">
        <f>P247+S247</f>
        <v>0</v>
      </c>
      <c r="Q246" s="575"/>
      <c r="R246" s="186"/>
      <c r="S246" s="186"/>
      <c r="T246" s="187">
        <v>200</v>
      </c>
      <c r="U246" s="188">
        <f>ROUND(((1400/'[1]Li-pł zlec'!$V$1)*'[1]LI-PŁ-prac'!T246),2)+((H245+L247)-ROUND(((H245+L247)*$N$3),2))+O248+P248+P250+R250+S250-O255-L255-M255</f>
        <v>1750</v>
      </c>
    </row>
    <row r="247" spans="1:21" ht="119.25" customHeight="1">
      <c r="A247" s="568"/>
      <c r="B247" s="189" t="s">
        <v>137</v>
      </c>
      <c r="C247" s="190" t="s">
        <v>138</v>
      </c>
      <c r="D247" s="595" t="s">
        <v>139</v>
      </c>
      <c r="E247" s="649" t="s">
        <v>307</v>
      </c>
      <c r="F247" s="191" t="s">
        <v>140</v>
      </c>
      <c r="G247" s="192" t="s">
        <v>141</v>
      </c>
      <c r="H247" s="651" t="s">
        <v>142</v>
      </c>
      <c r="I247" s="652"/>
      <c r="J247" s="652"/>
      <c r="K247" s="652"/>
      <c r="L247" s="193">
        <f>SUM(H250:L250)</f>
        <v>0</v>
      </c>
      <c r="M247" s="625"/>
      <c r="N247" s="626"/>
      <c r="O247" s="626"/>
      <c r="P247" s="193"/>
      <c r="Q247" s="635"/>
      <c r="R247" s="636"/>
      <c r="S247" s="194"/>
      <c r="T247" s="637"/>
      <c r="U247" s="638"/>
    </row>
    <row r="248" spans="1:21" ht="141" customHeight="1" thickBot="1">
      <c r="A248" s="568"/>
      <c r="B248" s="195" t="s">
        <v>143</v>
      </c>
      <c r="C248" s="196"/>
      <c r="D248" s="554"/>
      <c r="E248" s="650"/>
      <c r="F248" s="197">
        <f>IF(F249&gt;0,1,0)</f>
        <v>0</v>
      </c>
      <c r="G248" s="155" t="s">
        <v>308</v>
      </c>
      <c r="H248" s="198" t="s">
        <v>144</v>
      </c>
      <c r="I248" s="199" t="s">
        <v>145</v>
      </c>
      <c r="J248" s="199" t="s">
        <v>146</v>
      </c>
      <c r="K248" s="199" t="s">
        <v>147</v>
      </c>
      <c r="L248" s="200" t="s">
        <v>148</v>
      </c>
      <c r="M248" s="201"/>
      <c r="N248" s="202"/>
      <c r="O248" s="203"/>
      <c r="P248" s="204"/>
      <c r="Q248" s="205"/>
      <c r="R248" s="206"/>
      <c r="S248" s="207"/>
      <c r="T248" s="637"/>
      <c r="U248" s="638"/>
    </row>
    <row r="249" spans="1:21" ht="51.75" customHeight="1">
      <c r="A249" s="568"/>
      <c r="B249" s="208"/>
      <c r="C249" s="595" t="s">
        <v>149</v>
      </c>
      <c r="D249" s="554"/>
      <c r="E249" s="209"/>
      <c r="F249" s="210">
        <f>IF(T235&gt;0,$H$3,0)</f>
        <v>0</v>
      </c>
      <c r="G249" s="211">
        <f>IF(G250+G251&gt;0,1,0)</f>
        <v>0</v>
      </c>
      <c r="H249" s="212">
        <f>IF(H250&gt;0,1,0)</f>
        <v>0</v>
      </c>
      <c r="I249" s="213">
        <f>IF(I250&gt;0,1,0)</f>
        <v>0</v>
      </c>
      <c r="J249" s="213">
        <f>IF(J250&gt;0,1,0)</f>
        <v>0</v>
      </c>
      <c r="K249" s="213">
        <f>IF(K250&gt;0,1,0)</f>
        <v>0</v>
      </c>
      <c r="L249" s="214">
        <f>IF(L250&gt;0,1,0)</f>
        <v>0</v>
      </c>
      <c r="M249" s="639" t="s">
        <v>150</v>
      </c>
      <c r="N249" s="640"/>
      <c r="O249" s="641"/>
      <c r="P249" s="642"/>
      <c r="Q249" s="215"/>
      <c r="R249" s="216"/>
      <c r="S249" s="217"/>
      <c r="T249" s="643"/>
      <c r="U249" s="644"/>
    </row>
    <row r="250" spans="1:21" ht="60.75" customHeight="1" thickBot="1">
      <c r="A250" s="568"/>
      <c r="B250" s="218" t="s">
        <v>151</v>
      </c>
      <c r="C250" s="554"/>
      <c r="D250" s="131"/>
      <c r="E250" s="219">
        <f>IF(E249&gt;0,C$3,0)</f>
        <v>0</v>
      </c>
      <c r="F250" s="220" t="s">
        <v>152</v>
      </c>
      <c r="G250" s="221"/>
      <c r="H250" s="179">
        <f>IF(G242&gt;0,(ROUND((C256*G241),2)*G242),0)+IF(B246&gt;0,(ROUND((C256*B245),2)*B246),0)+IF(F246&gt;0,(ROUND((C256*F245),2)*F246),0)</f>
        <v>0</v>
      </c>
      <c r="I250" s="182">
        <f>IF(E246&gt;0,(ROUND(((D256*D255)/30),2)*E246),0)</f>
        <v>0</v>
      </c>
      <c r="J250" s="182">
        <f>IF(C246&gt;0,(ROUND(C256*C245,2)*C246),0)</f>
        <v>0</v>
      </c>
      <c r="K250" s="182">
        <f>IF(D246&gt;0,(ROUND(C256,2)*D246),0)</f>
        <v>0</v>
      </c>
      <c r="L250" s="222">
        <f>E256</f>
        <v>0</v>
      </c>
      <c r="M250" s="645">
        <f>Q235+M240+L247</f>
        <v>0</v>
      </c>
      <c r="N250" s="646"/>
      <c r="O250" s="202"/>
      <c r="P250" s="223"/>
      <c r="Q250" s="224"/>
      <c r="R250" s="182"/>
      <c r="S250" s="185"/>
      <c r="T250" s="695" t="s">
        <v>153</v>
      </c>
      <c r="U250" s="696"/>
    </row>
    <row r="251" spans="1:21" ht="41.25" customHeight="1" thickTop="1">
      <c r="A251" s="568"/>
      <c r="B251" s="208"/>
      <c r="C251" s="208"/>
      <c r="D251" s="208"/>
      <c r="E251" s="203">
        <f>ROUND((E249*E250),2)</f>
        <v>0</v>
      </c>
      <c r="F251" s="225"/>
      <c r="G251" s="226"/>
      <c r="H251" s="653" t="s">
        <v>309</v>
      </c>
      <c r="I251" s="655" t="s">
        <v>154</v>
      </c>
      <c r="J251" s="657" t="s">
        <v>155</v>
      </c>
      <c r="K251" s="660" t="s">
        <v>156</v>
      </c>
      <c r="L251" s="661" t="s">
        <v>157</v>
      </c>
      <c r="M251" s="661"/>
      <c r="N251" s="661"/>
      <c r="O251" s="662"/>
      <c r="P251" s="663" t="s">
        <v>158</v>
      </c>
      <c r="Q251" s="227" t="s">
        <v>159</v>
      </c>
      <c r="R251" s="228" t="s">
        <v>160</v>
      </c>
      <c r="S251" s="229" t="s">
        <v>161</v>
      </c>
      <c r="T251" s="695" t="s">
        <v>162</v>
      </c>
      <c r="U251" s="696"/>
    </row>
    <row r="252" spans="1:21" ht="92.25" customHeight="1">
      <c r="A252" s="568"/>
      <c r="B252" s="664" t="s">
        <v>163</v>
      </c>
      <c r="C252" s="117" t="s">
        <v>164</v>
      </c>
      <c r="D252" s="337" t="s">
        <v>165</v>
      </c>
      <c r="E252" s="146" t="s">
        <v>166</v>
      </c>
      <c r="F252" s="697" t="s">
        <v>167</v>
      </c>
      <c r="G252" s="191" t="s">
        <v>168</v>
      </c>
      <c r="H252" s="654"/>
      <c r="I252" s="656"/>
      <c r="J252" s="658"/>
      <c r="K252" s="584"/>
      <c r="L252" s="232" t="s">
        <v>169</v>
      </c>
      <c r="M252" s="123" t="s">
        <v>170</v>
      </c>
      <c r="N252" s="136" t="s">
        <v>171</v>
      </c>
      <c r="O252" s="136" t="s">
        <v>172</v>
      </c>
      <c r="P252" s="556"/>
      <c r="Q252" s="233">
        <f>ROUND(IF(S257&gt;$N$4,IF(S257&lt;=$O$4,7866.25+((S257-$N$4)*$O$3)),0)+IF(S257&gt;$O$4,20177.65+((S257-$O$4)*$P$3),0)+IF(S257&lt;=$N$4,IF(S257*E263&gt;0,S257*E263),0),0.1)</f>
        <v>0</v>
      </c>
      <c r="R252" s="234">
        <f>IF(L247&gt;0,ROUND((ROUND((L247),0.1)*E263),0.1),0)</f>
        <v>0</v>
      </c>
      <c r="S252" s="235">
        <f>IF(Q252+R252-D263&gt;=0,Q252+R252-D263,0)+IF(D263-Q252+R252&gt;0&lt;D263+0.001,Q252+R252-D263,0)</f>
        <v>0</v>
      </c>
      <c r="T252" s="695" t="s">
        <v>173</v>
      </c>
      <c r="U252" s="696"/>
    </row>
    <row r="253" spans="1:21" ht="36.75" customHeight="1">
      <c r="A253" s="568"/>
      <c r="B253" s="665"/>
      <c r="C253" s="230"/>
      <c r="D253" s="236"/>
      <c r="E253" s="237"/>
      <c r="F253" s="698"/>
      <c r="G253" s="239" t="s">
        <v>310</v>
      </c>
      <c r="H253" s="654"/>
      <c r="I253" s="656"/>
      <c r="J253" s="658"/>
      <c r="K253" s="584"/>
      <c r="L253" s="123"/>
      <c r="M253" s="240"/>
      <c r="N253" s="241"/>
      <c r="O253" s="136"/>
      <c r="P253" s="556"/>
      <c r="Q253" s="668" t="s">
        <v>174</v>
      </c>
      <c r="R253" s="669"/>
      <c r="S253" s="235">
        <f>ROUND(IF(S252&gt;=L263,S252-L263,0),0.1)</f>
        <v>0</v>
      </c>
      <c r="T253" s="338" t="str">
        <f>L$8</f>
        <v>styczeń</v>
      </c>
      <c r="U253" s="339" t="str">
        <f>N$8</f>
        <v>2011 r.</v>
      </c>
    </row>
    <row r="254" spans="1:21" ht="48" customHeight="1">
      <c r="A254" s="568"/>
      <c r="B254" s="244">
        <f>IF(B255=0,IF(T235&gt;0,IF(T240&gt;0,IF(T240="I kl",O$1)+IF(T240="II kl",P$1)+IF(T240="III kl",Q$1),ROUND((E$1*B263),2)),0),0)</f>
        <v>0</v>
      </c>
      <c r="C254" s="118" t="s">
        <v>175</v>
      </c>
      <c r="D254" s="123" t="s">
        <v>176</v>
      </c>
      <c r="E254" s="245"/>
      <c r="F254" s="698"/>
      <c r="G254" s="139"/>
      <c r="H254" s="246">
        <f>IF(H255&gt;0,1,0)</f>
        <v>0</v>
      </c>
      <c r="I254" s="247">
        <f>IF(I255&gt;0,1,0)</f>
        <v>0</v>
      </c>
      <c r="J254" s="658"/>
      <c r="K254" s="248">
        <f aca="true" t="shared" si="23" ref="K254:P254">IF(K255&gt;0,1,0)</f>
        <v>0</v>
      </c>
      <c r="L254" s="249">
        <f t="shared" si="23"/>
        <v>0</v>
      </c>
      <c r="M254" s="250">
        <f t="shared" si="23"/>
        <v>0</v>
      </c>
      <c r="N254" s="249">
        <f t="shared" si="23"/>
        <v>0</v>
      </c>
      <c r="O254" s="251">
        <f t="shared" si="23"/>
        <v>0</v>
      </c>
      <c r="P254" s="252">
        <f t="shared" si="23"/>
        <v>0</v>
      </c>
      <c r="Q254" s="670" t="s">
        <v>177</v>
      </c>
      <c r="R254" s="253" t="s">
        <v>178</v>
      </c>
      <c r="S254" s="235">
        <v>0</v>
      </c>
      <c r="T254" s="647" t="s">
        <v>179</v>
      </c>
      <c r="U254" s="648"/>
    </row>
    <row r="255" spans="1:21" ht="57.75" customHeight="1" thickBot="1">
      <c r="A255" s="568"/>
      <c r="B255" s="254"/>
      <c r="C255" s="230"/>
      <c r="D255" s="177">
        <v>0.9</v>
      </c>
      <c r="E255" s="255">
        <f>IF(E253&gt;0,$U$1-E254,0)</f>
        <v>0</v>
      </c>
      <c r="F255" s="238">
        <f>IF(F256&gt;0,1,0)</f>
        <v>0</v>
      </c>
      <c r="G255" s="256" t="s">
        <v>180</v>
      </c>
      <c r="H255" s="257">
        <f>P234+L247-P263</f>
        <v>0</v>
      </c>
      <c r="I255" s="233">
        <f>L234+K246</f>
        <v>0</v>
      </c>
      <c r="J255" s="659"/>
      <c r="K255" s="244">
        <f>S239+K245+L245+O245+R245+O258+L261-N255</f>
        <v>0</v>
      </c>
      <c r="L255" s="244"/>
      <c r="M255" s="244">
        <f>G244+IF(G246&gt;0,G246,0)</f>
        <v>0</v>
      </c>
      <c r="N255" s="244">
        <f>L261-L263</f>
        <v>0</v>
      </c>
      <c r="O255" s="244"/>
      <c r="P255" s="258">
        <f>SUM(K255:O255)</f>
        <v>0</v>
      </c>
      <c r="Q255" s="671"/>
      <c r="R255" s="259" t="s">
        <v>181</v>
      </c>
      <c r="S255" s="235">
        <v>0</v>
      </c>
      <c r="T255" s="647" t="s">
        <v>182</v>
      </c>
      <c r="U255" s="648"/>
    </row>
    <row r="256" spans="1:21" ht="45.75" customHeight="1" thickBot="1" thickTop="1">
      <c r="A256" s="569"/>
      <c r="B256" s="244">
        <f>IF(B255=0,ROUND(IF(B254&gt;0,CEILING((B254/G238),0.01),B255),2),B255)</f>
        <v>0</v>
      </c>
      <c r="C256" s="244">
        <f>IF(T235&gt;0,(IF(C253&gt;0,ROUND(((C253-(C253*(B259+C259+D259)))/30),2),0)+IF(C255&gt;0,ROUND((C255/30),2),0))+(IF(IF(C253&gt;0,ROUND(((C253-(C253*(B259+C259+D259)))/30),2),0)+IF(C255&gt;0,ROUND((C255/30),2),0)&lt;ROUND((($F$1*B263)/30),2),(IF(C253+C255&gt;0,ROUND((($F$1*B263)/30),2)-(IF(C253&gt;0,ROUND(((C253-(C253*(B259+C259+D259)))/30),2),0)+IF(C255&gt;0,ROUND((C255/30),2),0)))),0)),0)</f>
        <v>0</v>
      </c>
      <c r="D256" s="244"/>
      <c r="E256" s="244">
        <f>IF(E255&gt;0,IF(ROUND(E253-((E253/30)*E254),2)-H258+O258&gt;0,ROUND(E253-((E253/30)*E254),2)-H258+O258,0),0)</f>
        <v>0</v>
      </c>
      <c r="F256" s="137"/>
      <c r="G256" s="139"/>
      <c r="H256" s="672" t="s">
        <v>183</v>
      </c>
      <c r="I256" s="673"/>
      <c r="J256" s="673"/>
      <c r="K256" s="673"/>
      <c r="L256" s="673"/>
      <c r="M256" s="674" t="s">
        <v>184</v>
      </c>
      <c r="N256" s="675"/>
      <c r="O256" s="260" t="s">
        <v>185</v>
      </c>
      <c r="P256" s="261" t="s">
        <v>186</v>
      </c>
      <c r="Q256" s="676" t="s">
        <v>187</v>
      </c>
      <c r="R256" s="677"/>
      <c r="S256" s="262">
        <f>ROUND((IF(S253-S254&gt;=0,S253-S254,0)+S255),0.1)</f>
        <v>0</v>
      </c>
      <c r="T256" s="263" t="str">
        <f>L$8</f>
        <v>styczeń</v>
      </c>
      <c r="U256" s="264" t="str">
        <f>N$8</f>
        <v>2011 r.</v>
      </c>
    </row>
    <row r="257" spans="1:21" ht="69.75" customHeight="1" thickBot="1" thickTop="1">
      <c r="A257" s="568"/>
      <c r="B257" s="699" t="s">
        <v>188</v>
      </c>
      <c r="C257" s="700"/>
      <c r="D257" s="700"/>
      <c r="E257" s="701"/>
      <c r="F257" s="265" t="s">
        <v>189</v>
      </c>
      <c r="G257" s="266" t="s">
        <v>190</v>
      </c>
      <c r="H257" s="267" t="s">
        <v>191</v>
      </c>
      <c r="I257" s="268" t="s">
        <v>192</v>
      </c>
      <c r="J257" s="269" t="s">
        <v>193</v>
      </c>
      <c r="K257" s="238" t="s">
        <v>194</v>
      </c>
      <c r="L257" s="270" t="s">
        <v>195</v>
      </c>
      <c r="M257" s="198" t="s">
        <v>196</v>
      </c>
      <c r="N257" s="271" t="s">
        <v>197</v>
      </c>
      <c r="O257" s="294" t="s">
        <v>198</v>
      </c>
      <c r="P257" s="273" t="s">
        <v>199</v>
      </c>
      <c r="Q257" s="340" t="s">
        <v>200</v>
      </c>
      <c r="R257" s="275" t="s">
        <v>201</v>
      </c>
      <c r="S257" s="276">
        <f>IF(ROUND((P234-P263-C263),0.1)&gt;0,ROUND((P234-P263-C263),0.1),0)</f>
        <v>0</v>
      </c>
      <c r="T257" s="277"/>
      <c r="U257" s="278"/>
    </row>
    <row r="258" spans="1:21" ht="81" customHeight="1" thickTop="1">
      <c r="A258" s="568"/>
      <c r="B258" s="279" t="s">
        <v>202</v>
      </c>
      <c r="C258" s="279" t="s">
        <v>203</v>
      </c>
      <c r="D258" s="279" t="s">
        <v>204</v>
      </c>
      <c r="E258" s="279" t="s">
        <v>205</v>
      </c>
      <c r="F258" s="279" t="s">
        <v>206</v>
      </c>
      <c r="G258" s="280">
        <f>ROUND((H258*G260),2)</f>
        <v>0</v>
      </c>
      <c r="H258" s="281">
        <f>Q235+O245</f>
        <v>0</v>
      </c>
      <c r="I258" s="282">
        <f>Q235+O245</f>
        <v>0</v>
      </c>
      <c r="J258" s="282">
        <f>Q235+O245</f>
        <v>0</v>
      </c>
      <c r="K258" s="282">
        <f>Q235+O245</f>
        <v>0</v>
      </c>
      <c r="L258" s="283">
        <f>Q235+H245+I245-O258+O245</f>
        <v>0</v>
      </c>
      <c r="M258" s="284">
        <f>IF(D253&gt;0,IF(D253&lt;$U$1,ROUND((($E$1/$U$1)*D253),2),$E$1))+IF(K250&gt;0,K250,0)</f>
        <v>0</v>
      </c>
      <c r="N258" s="285">
        <f>M258</f>
        <v>0</v>
      </c>
      <c r="O258" s="286">
        <f>SUM(H261:J261)</f>
        <v>0</v>
      </c>
      <c r="P258" s="287">
        <f>IF(P259&gt;0,1,0)</f>
        <v>0</v>
      </c>
      <c r="Q258" s="288">
        <f>ROUND((H258-O245-P263+H245+I245)*$R$3,2)</f>
        <v>0</v>
      </c>
      <c r="R258" s="681" t="s">
        <v>207</v>
      </c>
      <c r="S258" s="683" t="s">
        <v>311</v>
      </c>
      <c r="T258" s="289"/>
      <c r="U258" s="278"/>
    </row>
    <row r="259" spans="1:21" ht="38.25" customHeight="1">
      <c r="A259" s="568"/>
      <c r="B259" s="158">
        <f>IF(H258&gt;0,B$2,0)</f>
        <v>0</v>
      </c>
      <c r="C259" s="158">
        <f>IF(I258&gt;0,H$4,0)</f>
        <v>0</v>
      </c>
      <c r="D259" s="158">
        <f>IF(J258&gt;0,F$2,0)</f>
        <v>0</v>
      </c>
      <c r="E259" s="158" t="s">
        <v>208</v>
      </c>
      <c r="F259" s="290" t="s">
        <v>209</v>
      </c>
      <c r="G259" s="291">
        <v>0</v>
      </c>
      <c r="H259" s="685" t="s">
        <v>210</v>
      </c>
      <c r="I259" s="686"/>
      <c r="J259" s="686"/>
      <c r="K259" s="686"/>
      <c r="L259" s="686"/>
      <c r="M259" s="292" t="s">
        <v>211</v>
      </c>
      <c r="N259" s="293" t="s">
        <v>212</v>
      </c>
      <c r="O259" s="294" t="s">
        <v>213</v>
      </c>
      <c r="P259" s="52">
        <f>IF(I258&lt;$E$1,IF(B263=1,IF(T240=0,ROUND((I258*$L$2),2),0),0),ROUND((I258*$L$2),2))</f>
        <v>0</v>
      </c>
      <c r="Q259" s="295" t="s">
        <v>214</v>
      </c>
      <c r="R259" s="682"/>
      <c r="S259" s="684"/>
      <c r="T259" s="289"/>
      <c r="U259" s="278"/>
    </row>
    <row r="260" spans="1:21" ht="42.75" customHeight="1" thickBot="1">
      <c r="A260" s="568"/>
      <c r="B260" s="158">
        <f>IF(H258&gt;0,B$2,0)</f>
        <v>0</v>
      </c>
      <c r="C260" s="158">
        <f>IF(I258&gt;0,D$2,0)</f>
        <v>0</v>
      </c>
      <c r="D260" s="158" t="s">
        <v>208</v>
      </c>
      <c r="E260" s="158">
        <f>IF(K258&gt;0,H$2,0)</f>
        <v>0</v>
      </c>
      <c r="F260" s="158">
        <f>IF(L258&gt;0,J$2,0)</f>
        <v>0</v>
      </c>
      <c r="G260" s="158">
        <f>IF(G259&gt;0,L$1,0)</f>
        <v>0</v>
      </c>
      <c r="H260" s="296" t="s">
        <v>215</v>
      </c>
      <c r="I260" s="297" t="s">
        <v>215</v>
      </c>
      <c r="J260" s="297" t="s">
        <v>215</v>
      </c>
      <c r="K260" s="298" t="s">
        <v>209</v>
      </c>
      <c r="L260" s="299" t="s">
        <v>215</v>
      </c>
      <c r="M260" s="300">
        <f>ROUND(M258*(B$2+B$2),2)</f>
        <v>0</v>
      </c>
      <c r="N260" s="301">
        <f>ROUND(N258*(D$2+H$4),2)</f>
        <v>0</v>
      </c>
      <c r="O260" s="302">
        <f>H263+I263+K263+G258</f>
        <v>0</v>
      </c>
      <c r="P260" s="303" t="s">
        <v>216</v>
      </c>
      <c r="Q260" s="304">
        <f>ROUND((L258*J$2),2)</f>
        <v>0</v>
      </c>
      <c r="R260" s="305" t="s">
        <v>217</v>
      </c>
      <c r="S260" s="684"/>
      <c r="T260" s="289"/>
      <c r="U260" s="278"/>
    </row>
    <row r="261" spans="1:21" ht="53.25" customHeight="1" thickBot="1" thickTop="1">
      <c r="A261" s="568"/>
      <c r="B261" s="141">
        <f>IF(B259+B260&gt;0,1,0)</f>
        <v>0</v>
      </c>
      <c r="C261" s="141">
        <f>IF(C259+C260&gt;0,1,0)</f>
        <v>0</v>
      </c>
      <c r="D261" s="141">
        <f>IF(D259&gt;0,1,0)</f>
        <v>0</v>
      </c>
      <c r="E261" s="141">
        <f>IF(E260&gt;0,1,0)</f>
        <v>0</v>
      </c>
      <c r="F261" s="141">
        <f>IF(F260&gt;0,1,0)</f>
        <v>0</v>
      </c>
      <c r="G261" s="141">
        <f>IF(G260&gt;0,1,0)</f>
        <v>0</v>
      </c>
      <c r="H261" s="306">
        <f>ROUND(H258*B259,2)</f>
        <v>0</v>
      </c>
      <c r="I261" s="307">
        <f>ROUND(I258*C259,2)</f>
        <v>0</v>
      </c>
      <c r="J261" s="307">
        <f>ROUND(J258*D259,2)</f>
        <v>0</v>
      </c>
      <c r="K261" s="244" t="s">
        <v>209</v>
      </c>
      <c r="L261" s="307">
        <f>IF(S252&gt;=ROUND(L258*F260,2),ROUND(L258*F260,2),S252)</f>
        <v>0</v>
      </c>
      <c r="M261" s="687" t="s">
        <v>218</v>
      </c>
      <c r="N261" s="688"/>
      <c r="O261" s="689" t="s">
        <v>219</v>
      </c>
      <c r="P261" s="308">
        <f>IF(P262&gt;0,1,0)</f>
        <v>0</v>
      </c>
      <c r="Q261" s="309" t="s">
        <v>220</v>
      </c>
      <c r="R261" s="310">
        <f>IF(B238=G238,H239+I239+J239+L239+O239+R239+IF(K239&gt;0,ROUND((K239/K237),2),0),0)+IF(B238&lt;G238,IF(B238&gt;0,ROUND((((H239+J239)/B238)*(G238-B251)),2)+IF(K239&gt;0,ROUND((K239/K237),2),0)+I239+L239+O239+R239,0),0)</f>
        <v>0</v>
      </c>
      <c r="S261" s="235">
        <f>IF(S253-S254&lt;0,S254-S253,0)</f>
        <v>0</v>
      </c>
      <c r="T261" s="289"/>
      <c r="U261" s="278"/>
    </row>
    <row r="262" spans="1:22" ht="63" customHeight="1" thickBot="1" thickTop="1">
      <c r="A262" s="568"/>
      <c r="B262" s="311" t="s">
        <v>221</v>
      </c>
      <c r="C262" s="311" t="s">
        <v>222</v>
      </c>
      <c r="D262" s="311" t="s">
        <v>34</v>
      </c>
      <c r="E262" s="146" t="s">
        <v>223</v>
      </c>
      <c r="F262" s="312" t="s">
        <v>224</v>
      </c>
      <c r="G262" s="139">
        <f>IF(Q258&gt;Q252,Q258-Q252,0)</f>
        <v>0</v>
      </c>
      <c r="H262" s="313" t="s">
        <v>225</v>
      </c>
      <c r="I262" s="314" t="s">
        <v>225</v>
      </c>
      <c r="J262" s="298" t="s">
        <v>209</v>
      </c>
      <c r="K262" s="315" t="s">
        <v>225</v>
      </c>
      <c r="L262" s="316" t="s">
        <v>226</v>
      </c>
      <c r="M262" s="317" t="s">
        <v>227</v>
      </c>
      <c r="N262" s="318" t="s">
        <v>228</v>
      </c>
      <c r="O262" s="690"/>
      <c r="P262" s="319">
        <f>ROUND(N$2*H258,2)</f>
        <v>0</v>
      </c>
      <c r="Q262" s="320">
        <f>IF(D253&gt;0,$U$2,0)</f>
        <v>0</v>
      </c>
      <c r="R262" s="321" t="s">
        <v>229</v>
      </c>
      <c r="S262" s="322" t="s">
        <v>230</v>
      </c>
      <c r="T262" s="691" t="s">
        <v>231</v>
      </c>
      <c r="U262" s="702"/>
      <c r="V262" s="323">
        <f>IF(ISBLANK(AM234),0,IF(IF(AF249&gt;=AI$2,AI$2,AF249)&gt;0,IF(AF249&gt;=AI$2,AI$2,AF249),0))</f>
        <v>0</v>
      </c>
    </row>
    <row r="263" spans="1:22" ht="42" customHeight="1" thickBot="1" thickTop="1">
      <c r="A263" s="570"/>
      <c r="B263" s="324">
        <f>IF(ISBLANK(T235),0,1)</f>
        <v>0</v>
      </c>
      <c r="C263" s="324">
        <f>IF(ISBLANK(T235),0,IF(IF(M250&gt;=P$2,P$2,M250)&gt;0,IF(M250&gt;=P$2,P$2,M250),0))</f>
        <v>0</v>
      </c>
      <c r="D263" s="324">
        <f>IF(ISBLANK(T235),0,S$1)</f>
        <v>0</v>
      </c>
      <c r="E263" s="325">
        <f>IF(G238&gt;0,$N$3,0)</f>
        <v>0</v>
      </c>
      <c r="F263" s="326">
        <f>O258+O260+P259+P262+L261+S256</f>
        <v>0</v>
      </c>
      <c r="G263" s="327">
        <f>IF(G262&gt;0,1,0)</f>
        <v>0</v>
      </c>
      <c r="H263" s="328">
        <f>ROUND(H258*B259,2)</f>
        <v>0</v>
      </c>
      <c r="I263" s="329">
        <f>ROUND(I258*C260,2)</f>
        <v>0</v>
      </c>
      <c r="J263" s="182" t="s">
        <v>209</v>
      </c>
      <c r="K263" s="330">
        <f>ROUND(K258*E260,2)</f>
        <v>0</v>
      </c>
      <c r="L263" s="185">
        <f>IF(S252&gt;=ROUND((H258-O245-P263+H245+I245)*$R$3,2),ROUND((H258-O245-P263+H245+I245)*$R$3,2),S252)</f>
        <v>0</v>
      </c>
      <c r="M263" s="179">
        <f>O258+O260</f>
        <v>0</v>
      </c>
      <c r="N263" s="331">
        <f>M263+L261</f>
        <v>0</v>
      </c>
      <c r="O263" s="332">
        <f>SUM(M260:N260)</f>
        <v>0</v>
      </c>
      <c r="P263" s="333">
        <f>ROUND(Q235*B259,2)+ROUND(Q235*C259,2)+ROUND(Q235*D259,2)</f>
        <v>0</v>
      </c>
      <c r="Q263" s="334">
        <f>IF(D253&gt;0,ROUND(($U$2*J$2),2),0)</f>
        <v>0</v>
      </c>
      <c r="R263" s="335">
        <f>IF(B238&gt;=G238/2,IF(B238=G238,H239+I239+J239+L239+O239+P239+R239+IF(K239&gt;0,ROUND((K239/K237),2),0),ROUND((((H239+J239+L239)/B238)*(G238-B251)),2)+IF(K239&gt;0,ROUND((K239/K237),2),0)+I239+O239+P239+R239),0)</f>
        <v>0</v>
      </c>
      <c r="S263" s="336">
        <f>IF(P234-O258-S256-L261&gt;0,P234-O258-S256-L261,0)</f>
        <v>0</v>
      </c>
      <c r="T263" s="693" t="s">
        <v>232</v>
      </c>
      <c r="U263" s="703"/>
      <c r="V263" s="323">
        <f>IF(ISBLANK(AM235),0,IF(IF(AF250&gt;=AJ$2,AJ$2,AF250)&gt;0,IF(AF250&gt;=AJ$2,AJ$2,AF250),0))</f>
        <v>0</v>
      </c>
    </row>
    <row r="264" ht="24" customHeight="1" thickTop="1"/>
    <row r="265" spans="1:23" ht="33" customHeight="1" thickBot="1">
      <c r="A265" s="111" t="s">
        <v>72</v>
      </c>
      <c r="B265" s="112" t="s">
        <v>73</v>
      </c>
      <c r="C265" s="113"/>
      <c r="D265" s="113"/>
      <c r="E265" s="114"/>
      <c r="F265" s="553" t="s">
        <v>74</v>
      </c>
      <c r="G265" s="555" t="s">
        <v>75</v>
      </c>
      <c r="H265" s="557" t="s">
        <v>76</v>
      </c>
      <c r="I265" s="557"/>
      <c r="J265" s="558"/>
      <c r="K265" s="559"/>
      <c r="L265" s="560"/>
      <c r="M265" s="560"/>
      <c r="N265" s="560"/>
      <c r="O265" s="561"/>
      <c r="P265" s="559"/>
      <c r="Q265" s="560"/>
      <c r="R265" s="560"/>
      <c r="S265" s="560"/>
      <c r="T265" s="565" t="s">
        <v>77</v>
      </c>
      <c r="U265" s="566"/>
      <c r="V265" s="102"/>
      <c r="W265" s="115"/>
    </row>
    <row r="266" spans="1:23" ht="44.25" customHeight="1" thickBot="1" thickTop="1">
      <c r="A266" s="567">
        <f>A234+1</f>
        <v>9</v>
      </c>
      <c r="B266" s="571" t="s">
        <v>79</v>
      </c>
      <c r="C266" s="571" t="s">
        <v>80</v>
      </c>
      <c r="D266" s="573" t="s">
        <v>81</v>
      </c>
      <c r="E266" s="573"/>
      <c r="F266" s="554"/>
      <c r="G266" s="556"/>
      <c r="H266" s="574" t="s">
        <v>82</v>
      </c>
      <c r="I266" s="574"/>
      <c r="J266" s="574"/>
      <c r="K266" s="574"/>
      <c r="L266" s="575">
        <f>P266+S272</f>
        <v>0</v>
      </c>
      <c r="M266" s="576"/>
      <c r="N266" s="577" t="s">
        <v>83</v>
      </c>
      <c r="O266" s="578"/>
      <c r="P266" s="575">
        <f>Q267+M272</f>
        <v>0</v>
      </c>
      <c r="Q266" s="576"/>
      <c r="R266" s="119"/>
      <c r="S266" s="120"/>
      <c r="T266" s="121"/>
      <c r="U266" s="122"/>
      <c r="V266" s="102"/>
      <c r="W266" s="115"/>
    </row>
    <row r="267" spans="1:23" ht="36.75" customHeight="1">
      <c r="A267" s="568"/>
      <c r="B267" s="572"/>
      <c r="C267" s="572"/>
      <c r="D267" s="124" t="s">
        <v>85</v>
      </c>
      <c r="E267" s="124" t="s">
        <v>86</v>
      </c>
      <c r="F267" s="554"/>
      <c r="G267" s="556"/>
      <c r="H267" s="562" t="s">
        <v>87</v>
      </c>
      <c r="I267" s="563"/>
      <c r="J267" s="563"/>
      <c r="K267" s="563"/>
      <c r="L267" s="563"/>
      <c r="M267" s="563"/>
      <c r="N267" s="563"/>
      <c r="O267" s="563"/>
      <c r="P267" s="564"/>
      <c r="Q267" s="579">
        <f>SUM(H271:S271)</f>
        <v>0</v>
      </c>
      <c r="R267" s="580"/>
      <c r="S267" s="125"/>
      <c r="T267" s="581"/>
      <c r="U267" s="582"/>
      <c r="V267" s="102"/>
      <c r="W267" s="115"/>
    </row>
    <row r="268" spans="1:23" ht="38.25" customHeight="1">
      <c r="A268" s="568"/>
      <c r="B268" s="572"/>
      <c r="C268" s="126"/>
      <c r="D268" s="124" t="s">
        <v>89</v>
      </c>
      <c r="E268" s="124" t="s">
        <v>89</v>
      </c>
      <c r="F268" s="554"/>
      <c r="G268" s="127"/>
      <c r="H268" s="128" t="s">
        <v>90</v>
      </c>
      <c r="I268" s="129" t="s">
        <v>91</v>
      </c>
      <c r="J268" s="129" t="s">
        <v>92</v>
      </c>
      <c r="K268" s="130" t="s">
        <v>93</v>
      </c>
      <c r="L268" s="583" t="s">
        <v>94</v>
      </c>
      <c r="M268" s="583" t="s">
        <v>95</v>
      </c>
      <c r="N268" s="583" t="s">
        <v>96</v>
      </c>
      <c r="O268" s="585" t="s">
        <v>97</v>
      </c>
      <c r="P268" s="583" t="s">
        <v>98</v>
      </c>
      <c r="Q268" s="587" t="s">
        <v>99</v>
      </c>
      <c r="R268" s="589" t="s">
        <v>100</v>
      </c>
      <c r="S268" s="591" t="s">
        <v>101</v>
      </c>
      <c r="T268" s="581"/>
      <c r="U268" s="582"/>
      <c r="V268" s="102"/>
      <c r="W268" s="115"/>
    </row>
    <row r="269" spans="1:23" ht="30" customHeight="1">
      <c r="A269" s="568"/>
      <c r="B269" s="572"/>
      <c r="C269" s="131"/>
      <c r="D269" s="131"/>
      <c r="E269" s="131"/>
      <c r="F269" s="554"/>
      <c r="G269" s="127"/>
      <c r="H269" s="132" t="s">
        <v>103</v>
      </c>
      <c r="I269" s="133" t="s">
        <v>104</v>
      </c>
      <c r="J269" s="134">
        <v>0</v>
      </c>
      <c r="K269" s="135">
        <v>1</v>
      </c>
      <c r="L269" s="584"/>
      <c r="M269" s="584"/>
      <c r="N269" s="584"/>
      <c r="O269" s="586"/>
      <c r="P269" s="584"/>
      <c r="Q269" s="588"/>
      <c r="R269" s="590"/>
      <c r="S269" s="592"/>
      <c r="T269" s="581"/>
      <c r="U269" s="582"/>
      <c r="V269" s="102"/>
      <c r="W269" s="115"/>
    </row>
    <row r="270" spans="1:21" ht="51" customHeight="1">
      <c r="A270" s="568"/>
      <c r="B270" s="137">
        <f>G270</f>
        <v>0</v>
      </c>
      <c r="C270" s="137"/>
      <c r="D270" s="137"/>
      <c r="E270" s="138"/>
      <c r="F270" s="138"/>
      <c r="G270" s="139">
        <f>B$1*B295</f>
        <v>0</v>
      </c>
      <c r="H270" s="140">
        <f aca="true" t="shared" si="24" ref="H270:S270">IF(H271&gt;0,1,0)</f>
        <v>0</v>
      </c>
      <c r="I270" s="141">
        <f t="shared" si="24"/>
        <v>0</v>
      </c>
      <c r="J270" s="141">
        <f t="shared" si="24"/>
        <v>0</v>
      </c>
      <c r="K270" s="142">
        <f t="shared" si="24"/>
        <v>0</v>
      </c>
      <c r="L270" s="142">
        <f t="shared" si="24"/>
        <v>0</v>
      </c>
      <c r="M270" s="142">
        <f t="shared" si="24"/>
        <v>0</v>
      </c>
      <c r="N270" s="142">
        <f t="shared" si="24"/>
        <v>0</v>
      </c>
      <c r="O270" s="141">
        <f t="shared" si="24"/>
        <v>0</v>
      </c>
      <c r="P270" s="142">
        <f t="shared" si="24"/>
        <v>0</v>
      </c>
      <c r="Q270" s="142">
        <f t="shared" si="24"/>
        <v>0</v>
      </c>
      <c r="R270" s="143">
        <f t="shared" si="24"/>
        <v>0</v>
      </c>
      <c r="S270" s="144">
        <f t="shared" si="24"/>
        <v>0</v>
      </c>
      <c r="T270" s="593"/>
      <c r="U270" s="594"/>
    </row>
    <row r="271" spans="1:22" ht="49.5" customHeight="1" thickBot="1">
      <c r="A271" s="568"/>
      <c r="B271" s="595" t="s">
        <v>106</v>
      </c>
      <c r="C271" s="595" t="s">
        <v>107</v>
      </c>
      <c r="D271" s="596" t="s">
        <v>108</v>
      </c>
      <c r="E271" s="148" t="s">
        <v>109</v>
      </c>
      <c r="F271" s="149"/>
      <c r="G271" s="597" t="s">
        <v>110</v>
      </c>
      <c r="H271" s="150">
        <f>IF(B270+B274+B281+B283+C280+D274+F271&gt;0,IF(B286&gt;0,B286-(IF(E274+F274+G274+B278+C278+D278+E278+F278&gt;0,ROUND((B286/30)*IF(E274+F274+G274+B278+C278+D278+E278+F278&lt;31,E274+F274+G274+B278+C278+D278+E278+F278,30),2),0)+ROUND(((B286/G270)*(B274+B281+B283+C280+D274)),2)),0),0)+IF(B270&gt;G270,IF(B286&gt;0,(B270-G270)*B288,0),0)+IF(B287&gt;0,B287*B270,0)-IF(IF(B270+B274+B281+B283+C280+D274+F271&gt;0,IF(B286&gt;0,B286-(IF(E274+F274+G274+B278+C278+D278+E278+F278&gt;0,ROUND((B286/30)*IF(E274+F274+G274+B278+C278+D278+E278+F278&lt;31,E274+F274+G274+B278+C278+D278+E278+F278,30),2),0)+ROUND(((B286/G270)*(B274+B281+B283+C280+D274)),2)),0),0)&lt;0,IF(B270+B274+B281+B283+C280+D274+F271&gt;0,IF(B286&gt;0,B286-(IF(E274+F274+G274+B278+C278+D278+E278+F278&gt;0,ROUND((B286/30)*IF(E274+F274+G274+B278+C278+D278+E278+F278&lt;31,E274+F274+G274+B278+C278+D278+E278+F278,30),2),0)+ROUND(((B286/G270)*(B274+B281+B283+C280+D274)),2)),0),0),0)</f>
        <v>0</v>
      </c>
      <c r="I271" s="151">
        <f>ROUND(D270*ROUND(B288*150%,2)+E270*ROUND(B288*200%,2),2)</f>
        <v>0</v>
      </c>
      <c r="J271" s="151">
        <f>ROUND((J269*H271),2)</f>
        <v>0</v>
      </c>
      <c r="K271" s="151"/>
      <c r="L271" s="151">
        <f>IF(C270&gt;0,C270*ROUND(B288*U$3,2),0)+IF(U$3=0,IF(C270&gt;0,C270*ROUND(20%*ROUND(E$1/G270,2),2),0))</f>
        <v>0</v>
      </c>
      <c r="M271" s="151">
        <f>IF(B274&gt;0,ROUND((B274*C283),2),0)</f>
        <v>0</v>
      </c>
      <c r="N271" s="151">
        <f>IF(B270+D270+E270+F270&gt;0,ROUND((((H271+I271+J271+L271+O271)/(B270+D270+E270+F270))*D274),2),B288*D274)</f>
        <v>0</v>
      </c>
      <c r="O271" s="151">
        <f>ROUND((F270*B288),2)</f>
        <v>0</v>
      </c>
      <c r="P271" s="151">
        <f>IF(C274&gt;0,ROUND((D283/($I$1*8*B295)),2)*C274,0)</f>
        <v>0</v>
      </c>
      <c r="Q271" s="151"/>
      <c r="R271" s="152"/>
      <c r="S271" s="153">
        <f>IF(G288&gt;500,G288-500,0)+IF(F288&gt;190,F288-190,0)</f>
        <v>0</v>
      </c>
      <c r="T271" s="593"/>
      <c r="U271" s="594"/>
      <c r="V271" s="154"/>
    </row>
    <row r="272" spans="1:21" ht="57" customHeight="1">
      <c r="A272" s="568"/>
      <c r="B272" s="554"/>
      <c r="C272" s="554"/>
      <c r="D272" s="554"/>
      <c r="E272" s="599" t="s">
        <v>112</v>
      </c>
      <c r="F272" s="599"/>
      <c r="G272" s="598"/>
      <c r="H272" s="600" t="s">
        <v>113</v>
      </c>
      <c r="I272" s="601"/>
      <c r="J272" s="601"/>
      <c r="K272" s="601"/>
      <c r="L272" s="601"/>
      <c r="M272" s="602">
        <f>H277+I277+M273</f>
        <v>0</v>
      </c>
      <c r="N272" s="603"/>
      <c r="O272" s="604" t="s">
        <v>114</v>
      </c>
      <c r="P272" s="604"/>
      <c r="Q272" s="604"/>
      <c r="R272" s="604"/>
      <c r="S272" s="156">
        <f>S273+O277</f>
        <v>0</v>
      </c>
      <c r="T272" s="605"/>
      <c r="U272" s="606"/>
    </row>
    <row r="273" spans="1:21" ht="38.25" customHeight="1">
      <c r="A273" s="568"/>
      <c r="B273" s="157"/>
      <c r="C273" s="131"/>
      <c r="D273" s="131"/>
      <c r="E273" s="158">
        <v>0.8</v>
      </c>
      <c r="F273" s="158">
        <v>1</v>
      </c>
      <c r="G273" s="159">
        <v>0.8</v>
      </c>
      <c r="H273" s="607" t="s">
        <v>115</v>
      </c>
      <c r="I273" s="608"/>
      <c r="J273" s="609" t="s">
        <v>116</v>
      </c>
      <c r="K273" s="610"/>
      <c r="L273" s="610"/>
      <c r="M273" s="611">
        <f>SUM(J277:N277)</f>
        <v>0</v>
      </c>
      <c r="N273" s="612"/>
      <c r="O273" s="160" t="s">
        <v>117</v>
      </c>
      <c r="P273" s="613" t="s">
        <v>118</v>
      </c>
      <c r="Q273" s="614"/>
      <c r="R273" s="615"/>
      <c r="S273" s="161">
        <f>SUM(P277:S277)</f>
        <v>0</v>
      </c>
      <c r="T273" s="616"/>
      <c r="U273" s="617"/>
    </row>
    <row r="274" spans="1:21" ht="40.5" customHeight="1">
      <c r="A274" s="568"/>
      <c r="B274" s="137"/>
      <c r="C274" s="137"/>
      <c r="D274" s="137"/>
      <c r="E274" s="137"/>
      <c r="F274" s="137"/>
      <c r="G274" s="139"/>
      <c r="H274" s="618" t="s">
        <v>119</v>
      </c>
      <c r="I274" s="162"/>
      <c r="J274" s="620" t="s">
        <v>120</v>
      </c>
      <c r="K274" s="595" t="s">
        <v>121</v>
      </c>
      <c r="L274" s="595" t="s">
        <v>122</v>
      </c>
      <c r="M274" s="595" t="s">
        <v>123</v>
      </c>
      <c r="N274" s="163" t="s">
        <v>124</v>
      </c>
      <c r="O274" s="622" t="s">
        <v>125</v>
      </c>
      <c r="P274" s="624" t="s">
        <v>126</v>
      </c>
      <c r="Q274" s="584" t="s">
        <v>127</v>
      </c>
      <c r="R274" s="634" t="s">
        <v>128</v>
      </c>
      <c r="S274" s="633" t="s">
        <v>129</v>
      </c>
      <c r="T274" s="164"/>
      <c r="U274" s="165"/>
    </row>
    <row r="275" spans="1:21" ht="39.75" customHeight="1">
      <c r="A275" s="568"/>
      <c r="B275" s="571" t="s">
        <v>110</v>
      </c>
      <c r="C275" s="571" t="s">
        <v>130</v>
      </c>
      <c r="D275" s="571" t="s">
        <v>131</v>
      </c>
      <c r="E275" s="571" t="s">
        <v>132</v>
      </c>
      <c r="F275" s="571" t="s">
        <v>110</v>
      </c>
      <c r="G275" s="166" t="s">
        <v>133</v>
      </c>
      <c r="H275" s="619"/>
      <c r="I275" s="167"/>
      <c r="J275" s="621"/>
      <c r="K275" s="554"/>
      <c r="L275" s="554"/>
      <c r="M275" s="554"/>
      <c r="N275" s="168" t="s">
        <v>134</v>
      </c>
      <c r="O275" s="623"/>
      <c r="P275" s="624"/>
      <c r="Q275" s="584"/>
      <c r="R275" s="634"/>
      <c r="S275" s="633"/>
      <c r="T275" s="627">
        <f>I287-S288-P287</f>
        <v>0</v>
      </c>
      <c r="U275" s="628"/>
    </row>
    <row r="276" spans="1:21" ht="35.25" customHeight="1">
      <c r="A276" s="568"/>
      <c r="B276" s="572"/>
      <c r="C276" s="572"/>
      <c r="D276" s="572"/>
      <c r="E276" s="572"/>
      <c r="F276" s="572"/>
      <c r="G276" s="139"/>
      <c r="H276" s="169">
        <f aca="true" t="shared" si="25" ref="H276:M276">IF(H277&gt;0,1,0)</f>
        <v>0</v>
      </c>
      <c r="I276" s="170">
        <f t="shared" si="25"/>
        <v>0</v>
      </c>
      <c r="J276" s="171">
        <f t="shared" si="25"/>
        <v>0</v>
      </c>
      <c r="K276" s="172">
        <f t="shared" si="25"/>
        <v>0</v>
      </c>
      <c r="L276" s="173">
        <f t="shared" si="25"/>
        <v>0</v>
      </c>
      <c r="M276" s="173">
        <f t="shared" si="25"/>
        <v>0</v>
      </c>
      <c r="N276" s="174">
        <v>0</v>
      </c>
      <c r="O276" s="175">
        <f>IF(O277&gt;0,1,0)</f>
        <v>0</v>
      </c>
      <c r="P276" s="171">
        <f>IF(P277&gt;0,1,0)</f>
        <v>0</v>
      </c>
      <c r="Q276" s="173">
        <f>IF(Q277&gt;0,1,0)</f>
        <v>0</v>
      </c>
      <c r="R276" s="173">
        <f>IF(R277&gt;0,1,0)</f>
        <v>0</v>
      </c>
      <c r="S276" s="176">
        <f>IF(S277&gt;0,1,0)</f>
        <v>0</v>
      </c>
      <c r="T276" s="627"/>
      <c r="U276" s="628"/>
    </row>
    <row r="277" spans="1:21" ht="36" customHeight="1" thickBot="1">
      <c r="A277" s="568"/>
      <c r="B277" s="177">
        <v>1</v>
      </c>
      <c r="C277" s="177">
        <v>0.8</v>
      </c>
      <c r="D277" s="572"/>
      <c r="E277" s="572"/>
      <c r="F277" s="177">
        <v>0.7</v>
      </c>
      <c r="G277" s="178">
        <v>0</v>
      </c>
      <c r="H277" s="179">
        <f>IF(E274&gt;0,ROUND((C288*E273),2)*E274,0)+IF(F274&gt;0,C288*F274,0)</f>
        <v>0</v>
      </c>
      <c r="I277" s="180"/>
      <c r="J277" s="181">
        <f>IF(G270&gt;0,IF(B270&gt;=G270,E283-((E283/22)*F283),(E283-(ROUND(((E283/22)*(((G270-B270)/8*B295)+F283)),2))))-IF(B270=0,0,0)-IF(B270&lt;=F283*8*B295,E283-ROUND(((E283/22)*(((G270-B270)/8*B295)+F283)),2),0),0)</f>
        <v>0</v>
      </c>
      <c r="K277" s="182">
        <f>G286-R277</f>
        <v>0</v>
      </c>
      <c r="L277" s="182">
        <f>IF(F288&gt;0,IF(F288&lt;190,F288,190),0)</f>
        <v>0</v>
      </c>
      <c r="M277" s="182"/>
      <c r="N277" s="183">
        <f>IF(N276&gt;0,L$3*B295*N276,0)</f>
        <v>0</v>
      </c>
      <c r="O277" s="184">
        <f>IF(C295&lt;=$P$2,IF(G288&gt;0,IF(G288&lt;500,G288,500),0),0)</f>
        <v>0</v>
      </c>
      <c r="P277" s="181">
        <f>IF(G283&gt;0,ROUND(((G283/G270)*B270),2),0)+G282</f>
        <v>0</v>
      </c>
      <c r="Q277" s="182">
        <f>IF(F281&gt;0,ROUND((F281/G270)*B270,2),0)</f>
        <v>0</v>
      </c>
      <c r="R277" s="182">
        <f>IF(G286&gt;0,IF(G286&lt;380,G286,380),0)</f>
        <v>0</v>
      </c>
      <c r="S277" s="185"/>
      <c r="T277" s="627"/>
      <c r="U277" s="628"/>
    </row>
    <row r="278" spans="1:21" ht="60" customHeight="1" thickBot="1" thickTop="1">
      <c r="A278" s="568"/>
      <c r="B278" s="137"/>
      <c r="C278" s="137"/>
      <c r="D278" s="137"/>
      <c r="E278" s="137"/>
      <c r="F278" s="137"/>
      <c r="G278" s="139">
        <f>IF(L266+L279-Q277-P277-K287-J277&gt;$F$1,IF(G277&gt;0,IF(((H287-S288-L293-L287-J277-K277-L277-O290+P295)*(100%-G277))&gt;=(($F$1*B295)-IF(ROUND(((ROUND(($F$1-C295),0.1)*E295)-D295),0.1)&gt;0,ROUND(((ROUND(($F$1-C295),0.1)*E295)-D295),0.1),0)),((H287-S288-L293-L287-J277-K277-L277-O290+P295)*G277)))+IF(G277&gt;0,IF(((H287-S288-L293-L287-J277-K277-L277-O290+P295)*(100%-G277))&lt;(($F$1*B295)-IF(ROUND(((ROUND(($F$1-C295),0.1)*E295)-D295),0.1)&gt;0,ROUND(((ROUND(($F$1-C295),0.1)*E295)-D295),0.1),0)),(H287-S288-L293-L287-J277-K277-L277-O290+P295)-(($F$1*B295)-IF(ROUND(((ROUND(($F$1-C295),0.1)*E295)-D295),0.1)&gt;0,ROUND(((ROUND(($F$1-C295),0.1)*E295)-D295),0.1),0)))),0)</f>
        <v>0</v>
      </c>
      <c r="H278" s="629" t="s">
        <v>135</v>
      </c>
      <c r="I278" s="630"/>
      <c r="J278" s="630"/>
      <c r="K278" s="575">
        <f>L279+P278</f>
        <v>0</v>
      </c>
      <c r="L278" s="576"/>
      <c r="M278" s="631" t="s">
        <v>136</v>
      </c>
      <c r="N278" s="632"/>
      <c r="O278" s="632"/>
      <c r="P278" s="575">
        <f>P279+S279</f>
        <v>0</v>
      </c>
      <c r="Q278" s="575"/>
      <c r="R278" s="186"/>
      <c r="S278" s="186"/>
      <c r="T278" s="187">
        <v>200</v>
      </c>
      <c r="U278" s="188">
        <f>ROUND(((1400/'[1]Li-pł zlec'!$V$1)*'[1]LI-PŁ-prac'!T278),2)+((H277+L279)-ROUND(((H277+L279)*$N$3),2))+O280+P280+P282+R282+S282-O287-L287-M287</f>
        <v>1750</v>
      </c>
    </row>
    <row r="279" spans="1:21" ht="119.25" customHeight="1">
      <c r="A279" s="568"/>
      <c r="B279" s="189" t="s">
        <v>137</v>
      </c>
      <c r="C279" s="190" t="s">
        <v>138</v>
      </c>
      <c r="D279" s="595" t="s">
        <v>139</v>
      </c>
      <c r="E279" s="649" t="s">
        <v>307</v>
      </c>
      <c r="F279" s="191" t="s">
        <v>140</v>
      </c>
      <c r="G279" s="192" t="s">
        <v>141</v>
      </c>
      <c r="H279" s="651" t="s">
        <v>142</v>
      </c>
      <c r="I279" s="652"/>
      <c r="J279" s="652"/>
      <c r="K279" s="652"/>
      <c r="L279" s="193">
        <f>SUM(H282:L282)</f>
        <v>0</v>
      </c>
      <c r="M279" s="625"/>
      <c r="N279" s="626"/>
      <c r="O279" s="626"/>
      <c r="P279" s="193"/>
      <c r="Q279" s="635"/>
      <c r="R279" s="636"/>
      <c r="S279" s="194"/>
      <c r="T279" s="637"/>
      <c r="U279" s="638"/>
    </row>
    <row r="280" spans="1:21" ht="141" customHeight="1" thickBot="1">
      <c r="A280" s="568"/>
      <c r="B280" s="195" t="s">
        <v>143</v>
      </c>
      <c r="C280" s="196"/>
      <c r="D280" s="554"/>
      <c r="E280" s="650"/>
      <c r="F280" s="197">
        <f>IF(F281&gt;0,1,0)</f>
        <v>0</v>
      </c>
      <c r="G280" s="155" t="s">
        <v>308</v>
      </c>
      <c r="H280" s="198" t="s">
        <v>144</v>
      </c>
      <c r="I280" s="199" t="s">
        <v>145</v>
      </c>
      <c r="J280" s="199" t="s">
        <v>146</v>
      </c>
      <c r="K280" s="199" t="s">
        <v>147</v>
      </c>
      <c r="L280" s="200" t="s">
        <v>148</v>
      </c>
      <c r="M280" s="201"/>
      <c r="N280" s="202"/>
      <c r="O280" s="203"/>
      <c r="P280" s="204"/>
      <c r="Q280" s="205"/>
      <c r="R280" s="206"/>
      <c r="S280" s="207"/>
      <c r="T280" s="637"/>
      <c r="U280" s="638"/>
    </row>
    <row r="281" spans="1:21" ht="51.75" customHeight="1">
      <c r="A281" s="568"/>
      <c r="B281" s="208"/>
      <c r="C281" s="595" t="s">
        <v>149</v>
      </c>
      <c r="D281" s="554"/>
      <c r="E281" s="209"/>
      <c r="F281" s="210">
        <f>IF(T267&gt;0,$H$3,0)</f>
        <v>0</v>
      </c>
      <c r="G281" s="211">
        <f>IF(G282+G283&gt;0,1,0)</f>
        <v>0</v>
      </c>
      <c r="H281" s="212">
        <f>IF(H282&gt;0,1,0)</f>
        <v>0</v>
      </c>
      <c r="I281" s="213">
        <f>IF(I282&gt;0,1,0)</f>
        <v>0</v>
      </c>
      <c r="J281" s="213">
        <f>IF(J282&gt;0,1,0)</f>
        <v>0</v>
      </c>
      <c r="K281" s="213">
        <f>IF(K282&gt;0,1,0)</f>
        <v>0</v>
      </c>
      <c r="L281" s="214">
        <f>IF(L282&gt;0,1,0)</f>
        <v>0</v>
      </c>
      <c r="M281" s="639" t="s">
        <v>150</v>
      </c>
      <c r="N281" s="640"/>
      <c r="O281" s="641"/>
      <c r="P281" s="642"/>
      <c r="Q281" s="215"/>
      <c r="R281" s="216"/>
      <c r="S281" s="217"/>
      <c r="T281" s="643"/>
      <c r="U281" s="644"/>
    </row>
    <row r="282" spans="1:21" ht="60.75" customHeight="1" thickBot="1">
      <c r="A282" s="568"/>
      <c r="B282" s="218" t="s">
        <v>151</v>
      </c>
      <c r="C282" s="554"/>
      <c r="D282" s="131"/>
      <c r="E282" s="219">
        <f>IF(E281&gt;0,C$3,0)</f>
        <v>0</v>
      </c>
      <c r="F282" s="220" t="s">
        <v>152</v>
      </c>
      <c r="G282" s="221"/>
      <c r="H282" s="179">
        <f>IF(G274&gt;0,(ROUND((C288*G273),2)*G274),0)+IF(B278&gt;0,(ROUND((C288*B277),2)*B278),0)+IF(F278&gt;0,(ROUND((C288*F277),2)*F278),0)</f>
        <v>0</v>
      </c>
      <c r="I282" s="182">
        <f>IF(E278&gt;0,(ROUND(((D288*D287)/30),2)*E278),0)</f>
        <v>0</v>
      </c>
      <c r="J282" s="182">
        <f>IF(C278&gt;0,(ROUND(C288*C277,2)*C278),0)</f>
        <v>0</v>
      </c>
      <c r="K282" s="182">
        <f>IF(D278&gt;0,(ROUND(C288,2)*D278),0)</f>
        <v>0</v>
      </c>
      <c r="L282" s="222">
        <f>E288</f>
        <v>0</v>
      </c>
      <c r="M282" s="645">
        <f>Q267+M272+L279</f>
        <v>0</v>
      </c>
      <c r="N282" s="646"/>
      <c r="O282" s="202"/>
      <c r="P282" s="223"/>
      <c r="Q282" s="224"/>
      <c r="R282" s="182"/>
      <c r="S282" s="185"/>
      <c r="T282" s="695" t="s">
        <v>153</v>
      </c>
      <c r="U282" s="696"/>
    </row>
    <row r="283" spans="1:21" ht="41.25" customHeight="1" thickTop="1">
      <c r="A283" s="568"/>
      <c r="B283" s="208"/>
      <c r="C283" s="208"/>
      <c r="D283" s="208"/>
      <c r="E283" s="203">
        <f>ROUND((E281*E282),2)</f>
        <v>0</v>
      </c>
      <c r="F283" s="225"/>
      <c r="G283" s="226"/>
      <c r="H283" s="653" t="s">
        <v>309</v>
      </c>
      <c r="I283" s="655" t="s">
        <v>154</v>
      </c>
      <c r="J283" s="657" t="s">
        <v>155</v>
      </c>
      <c r="K283" s="660" t="s">
        <v>156</v>
      </c>
      <c r="L283" s="661" t="s">
        <v>157</v>
      </c>
      <c r="M283" s="661"/>
      <c r="N283" s="661"/>
      <c r="O283" s="662"/>
      <c r="P283" s="663" t="s">
        <v>158</v>
      </c>
      <c r="Q283" s="227" t="s">
        <v>159</v>
      </c>
      <c r="R283" s="228" t="s">
        <v>160</v>
      </c>
      <c r="S283" s="229" t="s">
        <v>161</v>
      </c>
      <c r="T283" s="695" t="s">
        <v>162</v>
      </c>
      <c r="U283" s="696"/>
    </row>
    <row r="284" spans="1:21" ht="92.25" customHeight="1">
      <c r="A284" s="568"/>
      <c r="B284" s="664" t="s">
        <v>163</v>
      </c>
      <c r="C284" s="117" t="s">
        <v>164</v>
      </c>
      <c r="D284" s="337" t="s">
        <v>165</v>
      </c>
      <c r="E284" s="146" t="s">
        <v>166</v>
      </c>
      <c r="F284" s="697" t="s">
        <v>167</v>
      </c>
      <c r="G284" s="191" t="s">
        <v>168</v>
      </c>
      <c r="H284" s="654"/>
      <c r="I284" s="656"/>
      <c r="J284" s="658"/>
      <c r="K284" s="584"/>
      <c r="L284" s="232" t="s">
        <v>169</v>
      </c>
      <c r="M284" s="123" t="s">
        <v>170</v>
      </c>
      <c r="N284" s="136" t="s">
        <v>171</v>
      </c>
      <c r="O284" s="136" t="s">
        <v>172</v>
      </c>
      <c r="P284" s="556"/>
      <c r="Q284" s="233">
        <f>ROUND(IF(S289&gt;$N$4,IF(S289&lt;=$O$4,7866.25+((S289-$N$4)*$O$3)),0)+IF(S289&gt;$O$4,20177.65+((S289-$O$4)*$P$3),0)+IF(S289&lt;=$N$4,IF(S289*E295&gt;0,S289*E295),0),0.1)</f>
        <v>0</v>
      </c>
      <c r="R284" s="234">
        <f>IF(L279&gt;0,ROUND((ROUND((L279),0.1)*E295),0.1),0)</f>
        <v>0</v>
      </c>
      <c r="S284" s="235">
        <f>IF(Q284+R284-D295&gt;=0,Q284+R284-D295,0)+IF(D295-Q284+R284&gt;0&lt;D295+0.001,Q284+R284-D295,0)</f>
        <v>0</v>
      </c>
      <c r="T284" s="695" t="s">
        <v>173</v>
      </c>
      <c r="U284" s="696"/>
    </row>
    <row r="285" spans="1:21" ht="36.75" customHeight="1">
      <c r="A285" s="568"/>
      <c r="B285" s="665"/>
      <c r="C285" s="230"/>
      <c r="D285" s="236"/>
      <c r="E285" s="237"/>
      <c r="F285" s="698"/>
      <c r="G285" s="239" t="s">
        <v>310</v>
      </c>
      <c r="H285" s="654"/>
      <c r="I285" s="656"/>
      <c r="J285" s="658"/>
      <c r="K285" s="584"/>
      <c r="L285" s="123"/>
      <c r="M285" s="240"/>
      <c r="N285" s="241"/>
      <c r="O285" s="136"/>
      <c r="P285" s="556"/>
      <c r="Q285" s="668" t="s">
        <v>174</v>
      </c>
      <c r="R285" s="669"/>
      <c r="S285" s="235">
        <f>ROUND(IF(S284&gt;=L295,S284-L295,0),0.1)</f>
        <v>0</v>
      </c>
      <c r="T285" s="338" t="str">
        <f>L$8</f>
        <v>styczeń</v>
      </c>
      <c r="U285" s="339" t="str">
        <f>N$8</f>
        <v>2011 r.</v>
      </c>
    </row>
    <row r="286" spans="1:21" ht="48" customHeight="1">
      <c r="A286" s="568"/>
      <c r="B286" s="244">
        <f>IF(B287=0,IF(T267&gt;0,IF(T272&gt;0,IF(T272="I kl",O$1)+IF(T272="II kl",P$1)+IF(T272="III kl",Q$1),ROUND((E$1*B295),2)),0),0)</f>
        <v>0</v>
      </c>
      <c r="C286" s="118" t="s">
        <v>175</v>
      </c>
      <c r="D286" s="123" t="s">
        <v>176</v>
      </c>
      <c r="E286" s="245"/>
      <c r="F286" s="698"/>
      <c r="G286" s="139"/>
      <c r="H286" s="246">
        <f>IF(H287&gt;0,1,0)</f>
        <v>0</v>
      </c>
      <c r="I286" s="247">
        <f>IF(I287&gt;0,1,0)</f>
        <v>0</v>
      </c>
      <c r="J286" s="658"/>
      <c r="K286" s="248">
        <f aca="true" t="shared" si="26" ref="K286:P286">IF(K287&gt;0,1,0)</f>
        <v>0</v>
      </c>
      <c r="L286" s="249">
        <f t="shared" si="26"/>
        <v>0</v>
      </c>
      <c r="M286" s="250">
        <f t="shared" si="26"/>
        <v>0</v>
      </c>
      <c r="N286" s="249">
        <f t="shared" si="26"/>
        <v>0</v>
      </c>
      <c r="O286" s="251">
        <f t="shared" si="26"/>
        <v>0</v>
      </c>
      <c r="P286" s="252">
        <f t="shared" si="26"/>
        <v>0</v>
      </c>
      <c r="Q286" s="670" t="s">
        <v>177</v>
      </c>
      <c r="R286" s="253" t="s">
        <v>178</v>
      </c>
      <c r="S286" s="235">
        <v>0</v>
      </c>
      <c r="T286" s="647" t="s">
        <v>179</v>
      </c>
      <c r="U286" s="648"/>
    </row>
    <row r="287" spans="1:21" ht="57.75" customHeight="1" thickBot="1">
      <c r="A287" s="568"/>
      <c r="B287" s="254"/>
      <c r="C287" s="230"/>
      <c r="D287" s="177">
        <v>0.9</v>
      </c>
      <c r="E287" s="255">
        <f>IF(E285&gt;0,$U$1-E286,0)</f>
        <v>0</v>
      </c>
      <c r="F287" s="238">
        <f>IF(F288&gt;0,1,0)</f>
        <v>0</v>
      </c>
      <c r="G287" s="256" t="s">
        <v>180</v>
      </c>
      <c r="H287" s="257">
        <f>P266+L279-P295</f>
        <v>0</v>
      </c>
      <c r="I287" s="233">
        <f>L266+K278</f>
        <v>0</v>
      </c>
      <c r="J287" s="659"/>
      <c r="K287" s="244">
        <f>S271+K277+L277+O277+R277+O290+L293-N287</f>
        <v>0</v>
      </c>
      <c r="L287" s="244"/>
      <c r="M287" s="244">
        <f>G276+IF(G278&gt;0,G278,0)</f>
        <v>0</v>
      </c>
      <c r="N287" s="244">
        <f>L293-L295</f>
        <v>0</v>
      </c>
      <c r="O287" s="244"/>
      <c r="P287" s="258">
        <f>SUM(K287:O287)</f>
        <v>0</v>
      </c>
      <c r="Q287" s="671"/>
      <c r="R287" s="259" t="s">
        <v>181</v>
      </c>
      <c r="S287" s="235">
        <v>0</v>
      </c>
      <c r="T287" s="647" t="s">
        <v>182</v>
      </c>
      <c r="U287" s="648"/>
    </row>
    <row r="288" spans="1:21" ht="45.75" customHeight="1" thickBot="1" thickTop="1">
      <c r="A288" s="569"/>
      <c r="B288" s="244">
        <f>IF(B287=0,ROUND(IF(B286&gt;0,CEILING((B286/G270),0.01),B287),2),B287)</f>
        <v>0</v>
      </c>
      <c r="C288" s="244">
        <f>IF(T267&gt;0,(IF(C285&gt;0,ROUND(((C285-(C285*(B291+C291+D291)))/30),2),0)+IF(C287&gt;0,ROUND((C287/30),2),0))+(IF(IF(C285&gt;0,ROUND(((C285-(C285*(B291+C291+D291)))/30),2),0)+IF(C287&gt;0,ROUND((C287/30),2),0)&lt;ROUND((($F$1*B295)/30),2),(IF(C285+C287&gt;0,ROUND((($F$1*B295)/30),2)-(IF(C285&gt;0,ROUND(((C285-(C285*(B291+C291+D291)))/30),2),0)+IF(C287&gt;0,ROUND((C287/30),2),0)))),0)),0)</f>
        <v>0</v>
      </c>
      <c r="D288" s="244"/>
      <c r="E288" s="244">
        <f>IF(E287&gt;0,IF(ROUND(E285-((E285/30)*E286),2)-H290+O290&gt;0,ROUND(E285-((E285/30)*E286),2)-H290+O290,0),0)</f>
        <v>0</v>
      </c>
      <c r="F288" s="137"/>
      <c r="G288" s="139"/>
      <c r="H288" s="672" t="s">
        <v>183</v>
      </c>
      <c r="I288" s="673"/>
      <c r="J288" s="673"/>
      <c r="K288" s="673"/>
      <c r="L288" s="673"/>
      <c r="M288" s="674" t="s">
        <v>184</v>
      </c>
      <c r="N288" s="675"/>
      <c r="O288" s="260" t="s">
        <v>185</v>
      </c>
      <c r="P288" s="261" t="s">
        <v>186</v>
      </c>
      <c r="Q288" s="676" t="s">
        <v>187</v>
      </c>
      <c r="R288" s="677"/>
      <c r="S288" s="262">
        <f>ROUND((IF(S285-S286&gt;=0,S285-S286,0)+S287),0.1)</f>
        <v>0</v>
      </c>
      <c r="T288" s="263" t="str">
        <f>L$8</f>
        <v>styczeń</v>
      </c>
      <c r="U288" s="264" t="str">
        <f>N$8</f>
        <v>2011 r.</v>
      </c>
    </row>
    <row r="289" spans="1:21" ht="69.75" customHeight="1" thickBot="1" thickTop="1">
      <c r="A289" s="568"/>
      <c r="B289" s="699" t="s">
        <v>188</v>
      </c>
      <c r="C289" s="700"/>
      <c r="D289" s="700"/>
      <c r="E289" s="701"/>
      <c r="F289" s="265" t="s">
        <v>189</v>
      </c>
      <c r="G289" s="266" t="s">
        <v>190</v>
      </c>
      <c r="H289" s="267" t="s">
        <v>191</v>
      </c>
      <c r="I289" s="268" t="s">
        <v>192</v>
      </c>
      <c r="J289" s="269" t="s">
        <v>193</v>
      </c>
      <c r="K289" s="238" t="s">
        <v>194</v>
      </c>
      <c r="L289" s="270" t="s">
        <v>195</v>
      </c>
      <c r="M289" s="198" t="s">
        <v>196</v>
      </c>
      <c r="N289" s="271" t="s">
        <v>197</v>
      </c>
      <c r="O289" s="294" t="s">
        <v>198</v>
      </c>
      <c r="P289" s="273" t="s">
        <v>199</v>
      </c>
      <c r="Q289" s="340" t="s">
        <v>200</v>
      </c>
      <c r="R289" s="275" t="s">
        <v>201</v>
      </c>
      <c r="S289" s="276">
        <f>IF(ROUND((P266-P295-C295),0.1)&gt;0,ROUND((P266-P295-C295),0.1),0)</f>
        <v>0</v>
      </c>
      <c r="T289" s="277"/>
      <c r="U289" s="278"/>
    </row>
    <row r="290" spans="1:21" ht="81" customHeight="1" thickTop="1">
      <c r="A290" s="568"/>
      <c r="B290" s="279" t="s">
        <v>202</v>
      </c>
      <c r="C290" s="279" t="s">
        <v>203</v>
      </c>
      <c r="D290" s="279" t="s">
        <v>204</v>
      </c>
      <c r="E290" s="279" t="s">
        <v>205</v>
      </c>
      <c r="F290" s="279" t="s">
        <v>206</v>
      </c>
      <c r="G290" s="280">
        <f>ROUND((H290*G292),2)</f>
        <v>0</v>
      </c>
      <c r="H290" s="281">
        <f>Q267+O277</f>
        <v>0</v>
      </c>
      <c r="I290" s="282">
        <f>Q267+O277</f>
        <v>0</v>
      </c>
      <c r="J290" s="282">
        <f>Q267+O277</f>
        <v>0</v>
      </c>
      <c r="K290" s="282">
        <f>Q267+O277</f>
        <v>0</v>
      </c>
      <c r="L290" s="283">
        <f>Q267+H277+I277-O290+O277</f>
        <v>0</v>
      </c>
      <c r="M290" s="284">
        <f>IF(D285&gt;0,IF(D285&lt;$U$1,ROUND((($E$1/$U$1)*D285),2),$E$1))+IF(K282&gt;0,K282,0)</f>
        <v>0</v>
      </c>
      <c r="N290" s="285">
        <f>M290</f>
        <v>0</v>
      </c>
      <c r="O290" s="286">
        <f>SUM(H293:J293)</f>
        <v>0</v>
      </c>
      <c r="P290" s="287">
        <f>IF(P291&gt;0,1,0)</f>
        <v>0</v>
      </c>
      <c r="Q290" s="288">
        <f>ROUND((H290-O277-P295+H277+I277)*$R$3,2)</f>
        <v>0</v>
      </c>
      <c r="R290" s="681" t="s">
        <v>207</v>
      </c>
      <c r="S290" s="683" t="s">
        <v>311</v>
      </c>
      <c r="T290" s="289"/>
      <c r="U290" s="278"/>
    </row>
    <row r="291" spans="1:21" ht="38.25" customHeight="1">
      <c r="A291" s="568"/>
      <c r="B291" s="158">
        <f>IF(H290&gt;0,B$2,0)</f>
        <v>0</v>
      </c>
      <c r="C291" s="158">
        <f>IF(I290&gt;0,H$4,0)</f>
        <v>0</v>
      </c>
      <c r="D291" s="158">
        <f>IF(J290&gt;0,F$2,0)</f>
        <v>0</v>
      </c>
      <c r="E291" s="158" t="s">
        <v>208</v>
      </c>
      <c r="F291" s="290" t="s">
        <v>209</v>
      </c>
      <c r="G291" s="291">
        <v>0</v>
      </c>
      <c r="H291" s="685" t="s">
        <v>210</v>
      </c>
      <c r="I291" s="686"/>
      <c r="J291" s="686"/>
      <c r="K291" s="686"/>
      <c r="L291" s="686"/>
      <c r="M291" s="292" t="s">
        <v>211</v>
      </c>
      <c r="N291" s="293" t="s">
        <v>212</v>
      </c>
      <c r="O291" s="294" t="s">
        <v>213</v>
      </c>
      <c r="P291" s="52">
        <f>IF(I290&lt;$E$1,IF(B295=1,IF(T272=0,ROUND((I290*$L$2),2),0),0),ROUND((I290*$L$2),2))</f>
        <v>0</v>
      </c>
      <c r="Q291" s="295" t="s">
        <v>214</v>
      </c>
      <c r="R291" s="682"/>
      <c r="S291" s="684"/>
      <c r="T291" s="289"/>
      <c r="U291" s="278"/>
    </row>
    <row r="292" spans="1:21" ht="42.75" customHeight="1" thickBot="1">
      <c r="A292" s="568"/>
      <c r="B292" s="158">
        <f>IF(H290&gt;0,B$2,0)</f>
        <v>0</v>
      </c>
      <c r="C292" s="158">
        <f>IF(I290&gt;0,D$2,0)</f>
        <v>0</v>
      </c>
      <c r="D292" s="158" t="s">
        <v>208</v>
      </c>
      <c r="E292" s="158">
        <f>IF(K290&gt;0,H$2,0)</f>
        <v>0</v>
      </c>
      <c r="F292" s="158">
        <f>IF(L290&gt;0,J$2,0)</f>
        <v>0</v>
      </c>
      <c r="G292" s="158">
        <f>IF(G291&gt;0,L$1,0)</f>
        <v>0</v>
      </c>
      <c r="H292" s="296" t="s">
        <v>215</v>
      </c>
      <c r="I292" s="297" t="s">
        <v>215</v>
      </c>
      <c r="J292" s="297" t="s">
        <v>215</v>
      </c>
      <c r="K292" s="298" t="s">
        <v>209</v>
      </c>
      <c r="L292" s="299" t="s">
        <v>215</v>
      </c>
      <c r="M292" s="300">
        <f>ROUND(M290*(B$2+B$2),2)</f>
        <v>0</v>
      </c>
      <c r="N292" s="301">
        <f>ROUND(N290*(D$2+H$4),2)</f>
        <v>0</v>
      </c>
      <c r="O292" s="302">
        <f>H295+I295+K295+G290</f>
        <v>0</v>
      </c>
      <c r="P292" s="303" t="s">
        <v>216</v>
      </c>
      <c r="Q292" s="304">
        <f>ROUND((L290*J$2),2)</f>
        <v>0</v>
      </c>
      <c r="R292" s="305" t="s">
        <v>217</v>
      </c>
      <c r="S292" s="684"/>
      <c r="T292" s="289"/>
      <c r="U292" s="278"/>
    </row>
    <row r="293" spans="1:21" ht="53.25" customHeight="1" thickBot="1" thickTop="1">
      <c r="A293" s="568"/>
      <c r="B293" s="141">
        <f>IF(B291+B292&gt;0,1,0)</f>
        <v>0</v>
      </c>
      <c r="C293" s="141">
        <f>IF(C291+C292&gt;0,1,0)</f>
        <v>0</v>
      </c>
      <c r="D293" s="141">
        <f>IF(D291&gt;0,1,0)</f>
        <v>0</v>
      </c>
      <c r="E293" s="141">
        <f>IF(E292&gt;0,1,0)</f>
        <v>0</v>
      </c>
      <c r="F293" s="141">
        <f>IF(F292&gt;0,1,0)</f>
        <v>0</v>
      </c>
      <c r="G293" s="141">
        <f>IF(G292&gt;0,1,0)</f>
        <v>0</v>
      </c>
      <c r="H293" s="306">
        <f>ROUND(H290*B291,2)</f>
        <v>0</v>
      </c>
      <c r="I293" s="307">
        <f>ROUND(I290*C291,2)</f>
        <v>0</v>
      </c>
      <c r="J293" s="307">
        <f>ROUND(J290*D291,2)</f>
        <v>0</v>
      </c>
      <c r="K293" s="244" t="s">
        <v>209</v>
      </c>
      <c r="L293" s="307">
        <f>IF(S284&gt;=ROUND(L290*F292,2),ROUND(L290*F292,2),S284)</f>
        <v>0</v>
      </c>
      <c r="M293" s="687" t="s">
        <v>218</v>
      </c>
      <c r="N293" s="688"/>
      <c r="O293" s="689" t="s">
        <v>219</v>
      </c>
      <c r="P293" s="308">
        <f>IF(P294&gt;0,1,0)</f>
        <v>0</v>
      </c>
      <c r="Q293" s="309" t="s">
        <v>220</v>
      </c>
      <c r="R293" s="310">
        <f>IF(B270=G270,H271+I271+J271+L271+O271+R271+IF(K271&gt;0,ROUND((K271/K269),2),0),0)+IF(B270&lt;G270,IF(B270&gt;0,ROUND((((H271+J271)/B270)*(G270-B283)),2)+IF(K271&gt;0,ROUND((K271/K269),2),0)+I271+L271+O271+R271,0),0)</f>
        <v>0</v>
      </c>
      <c r="S293" s="235">
        <f>IF(S285-S286&lt;0,S286-S285,0)</f>
        <v>0</v>
      </c>
      <c r="T293" s="289"/>
      <c r="U293" s="278"/>
    </row>
    <row r="294" spans="1:22" ht="63" customHeight="1" thickBot="1" thickTop="1">
      <c r="A294" s="568"/>
      <c r="B294" s="311" t="s">
        <v>221</v>
      </c>
      <c r="C294" s="311" t="s">
        <v>222</v>
      </c>
      <c r="D294" s="311" t="s">
        <v>34</v>
      </c>
      <c r="E294" s="146" t="s">
        <v>223</v>
      </c>
      <c r="F294" s="312" t="s">
        <v>224</v>
      </c>
      <c r="G294" s="139">
        <f>IF(Q290&gt;Q284,Q290-Q284,0)</f>
        <v>0</v>
      </c>
      <c r="H294" s="313" t="s">
        <v>225</v>
      </c>
      <c r="I294" s="314" t="s">
        <v>225</v>
      </c>
      <c r="J294" s="298" t="s">
        <v>209</v>
      </c>
      <c r="K294" s="315" t="s">
        <v>225</v>
      </c>
      <c r="L294" s="316" t="s">
        <v>226</v>
      </c>
      <c r="M294" s="317" t="s">
        <v>227</v>
      </c>
      <c r="N294" s="318" t="s">
        <v>228</v>
      </c>
      <c r="O294" s="690"/>
      <c r="P294" s="319">
        <f>ROUND(N$2*H290,2)</f>
        <v>0</v>
      </c>
      <c r="Q294" s="320">
        <f>IF(D285&gt;0,$U$2,0)</f>
        <v>0</v>
      </c>
      <c r="R294" s="321" t="s">
        <v>229</v>
      </c>
      <c r="S294" s="322" t="s">
        <v>230</v>
      </c>
      <c r="T294" s="691" t="s">
        <v>231</v>
      </c>
      <c r="U294" s="702"/>
      <c r="V294" s="323">
        <f>IF(ISBLANK(AM266),0,IF(IF(AF281&gt;=AI$2,AI$2,AF281)&gt;0,IF(AF281&gt;=AI$2,AI$2,AF281),0))</f>
        <v>0</v>
      </c>
    </row>
    <row r="295" spans="1:22" ht="42" customHeight="1" thickBot="1" thickTop="1">
      <c r="A295" s="570"/>
      <c r="B295" s="324">
        <f>IF(ISBLANK(T267),0,1)</f>
        <v>0</v>
      </c>
      <c r="C295" s="324">
        <f>IF(ISBLANK(T267),0,IF(IF(M282&gt;=P$2,P$2,M282)&gt;0,IF(M282&gt;=P$2,P$2,M282),0))</f>
        <v>0</v>
      </c>
      <c r="D295" s="324">
        <f>IF(ISBLANK(T267),0,S$1)</f>
        <v>0</v>
      </c>
      <c r="E295" s="325">
        <f>IF(G270&gt;0,$N$3,0)</f>
        <v>0</v>
      </c>
      <c r="F295" s="326">
        <f>O290+O292+P291+P294+L293+S288</f>
        <v>0</v>
      </c>
      <c r="G295" s="327">
        <f>IF(G294&gt;0,1,0)</f>
        <v>0</v>
      </c>
      <c r="H295" s="328">
        <f>ROUND(H290*B291,2)</f>
        <v>0</v>
      </c>
      <c r="I295" s="329">
        <f>ROUND(I290*C292,2)</f>
        <v>0</v>
      </c>
      <c r="J295" s="182" t="s">
        <v>209</v>
      </c>
      <c r="K295" s="330">
        <f>ROUND(K290*E292,2)</f>
        <v>0</v>
      </c>
      <c r="L295" s="185">
        <f>IF(S284&gt;=ROUND((H290-O277-P295+H277+I277)*$R$3,2),ROUND((H290-O277-P295+H277+I277)*$R$3,2),S284)</f>
        <v>0</v>
      </c>
      <c r="M295" s="179">
        <f>O290+O292</f>
        <v>0</v>
      </c>
      <c r="N295" s="331">
        <f>M295+L293</f>
        <v>0</v>
      </c>
      <c r="O295" s="332">
        <f>SUM(M292:N292)</f>
        <v>0</v>
      </c>
      <c r="P295" s="333">
        <f>ROUND(Q267*B291,2)+ROUND(Q267*C291,2)+ROUND(Q267*D291,2)</f>
        <v>0</v>
      </c>
      <c r="Q295" s="334">
        <f>IF(D285&gt;0,ROUND(($U$2*J$2),2),0)</f>
        <v>0</v>
      </c>
      <c r="R295" s="335">
        <f>IF(B270&gt;=G270/2,IF(B270=G270,H271+I271+J271+L271+O271+P271+R271+IF(K271&gt;0,ROUND((K271/K269),2),0),ROUND((((H271+J271+L271)/B270)*(G270-B283)),2)+IF(K271&gt;0,ROUND((K271/K269),2),0)+I271+O271+P271+R271),0)</f>
        <v>0</v>
      </c>
      <c r="S295" s="336">
        <f>IF(P266-O290-S288-L293&gt;0,P266-O290-S288-L293,0)</f>
        <v>0</v>
      </c>
      <c r="T295" s="693" t="s">
        <v>232</v>
      </c>
      <c r="U295" s="703"/>
      <c r="V295" s="323">
        <f>IF(ISBLANK(AM267),0,IF(IF(AF282&gt;=AJ$2,AJ$2,AF282)&gt;0,IF(AF282&gt;=AJ$2,AJ$2,AF282),0))</f>
        <v>0</v>
      </c>
    </row>
    <row r="296" ht="24" customHeight="1" thickTop="1"/>
    <row r="297" spans="1:23" ht="33" customHeight="1" thickBot="1">
      <c r="A297" s="111" t="s">
        <v>72</v>
      </c>
      <c r="B297" s="112" t="s">
        <v>73</v>
      </c>
      <c r="C297" s="113"/>
      <c r="D297" s="113"/>
      <c r="E297" s="114"/>
      <c r="F297" s="553" t="s">
        <v>74</v>
      </c>
      <c r="G297" s="555" t="s">
        <v>75</v>
      </c>
      <c r="H297" s="557" t="s">
        <v>76</v>
      </c>
      <c r="I297" s="557"/>
      <c r="J297" s="558"/>
      <c r="K297" s="559"/>
      <c r="L297" s="560"/>
      <c r="M297" s="560"/>
      <c r="N297" s="560"/>
      <c r="O297" s="561"/>
      <c r="P297" s="559"/>
      <c r="Q297" s="560"/>
      <c r="R297" s="560"/>
      <c r="S297" s="560"/>
      <c r="T297" s="565" t="s">
        <v>77</v>
      </c>
      <c r="U297" s="566"/>
      <c r="V297" s="102"/>
      <c r="W297" s="115"/>
    </row>
    <row r="298" spans="1:23" ht="44.25" customHeight="1" thickBot="1" thickTop="1">
      <c r="A298" s="567">
        <f>A266+1</f>
        <v>10</v>
      </c>
      <c r="B298" s="571" t="s">
        <v>79</v>
      </c>
      <c r="C298" s="571" t="s">
        <v>80</v>
      </c>
      <c r="D298" s="573" t="s">
        <v>81</v>
      </c>
      <c r="E298" s="573"/>
      <c r="F298" s="554"/>
      <c r="G298" s="556"/>
      <c r="H298" s="574" t="s">
        <v>82</v>
      </c>
      <c r="I298" s="574"/>
      <c r="J298" s="574"/>
      <c r="K298" s="574"/>
      <c r="L298" s="575">
        <f>P298+S304</f>
        <v>0</v>
      </c>
      <c r="M298" s="576"/>
      <c r="N298" s="577" t="s">
        <v>83</v>
      </c>
      <c r="O298" s="578"/>
      <c r="P298" s="575">
        <f>Q299+M304</f>
        <v>0</v>
      </c>
      <c r="Q298" s="576"/>
      <c r="R298" s="119"/>
      <c r="S298" s="120"/>
      <c r="T298" s="121"/>
      <c r="U298" s="122"/>
      <c r="V298" s="102"/>
      <c r="W298" s="115"/>
    </row>
    <row r="299" spans="1:23" ht="36.75" customHeight="1">
      <c r="A299" s="568"/>
      <c r="B299" s="572"/>
      <c r="C299" s="572"/>
      <c r="D299" s="124" t="s">
        <v>85</v>
      </c>
      <c r="E299" s="124" t="s">
        <v>86</v>
      </c>
      <c r="F299" s="554"/>
      <c r="G299" s="556"/>
      <c r="H299" s="562" t="s">
        <v>87</v>
      </c>
      <c r="I299" s="563"/>
      <c r="J299" s="563"/>
      <c r="K299" s="563"/>
      <c r="L299" s="563"/>
      <c r="M299" s="563"/>
      <c r="N299" s="563"/>
      <c r="O299" s="563"/>
      <c r="P299" s="564"/>
      <c r="Q299" s="579">
        <f>SUM(H303:S303)</f>
        <v>0</v>
      </c>
      <c r="R299" s="580"/>
      <c r="S299" s="125"/>
      <c r="T299" s="581"/>
      <c r="U299" s="582"/>
      <c r="V299" s="102"/>
      <c r="W299" s="115"/>
    </row>
    <row r="300" spans="1:23" ht="38.25" customHeight="1">
      <c r="A300" s="568"/>
      <c r="B300" s="572"/>
      <c r="C300" s="126"/>
      <c r="D300" s="124" t="s">
        <v>89</v>
      </c>
      <c r="E300" s="124" t="s">
        <v>89</v>
      </c>
      <c r="F300" s="554"/>
      <c r="G300" s="127"/>
      <c r="H300" s="128" t="s">
        <v>90</v>
      </c>
      <c r="I300" s="129" t="s">
        <v>91</v>
      </c>
      <c r="J300" s="129" t="s">
        <v>92</v>
      </c>
      <c r="K300" s="130" t="s">
        <v>93</v>
      </c>
      <c r="L300" s="583" t="s">
        <v>94</v>
      </c>
      <c r="M300" s="583" t="s">
        <v>95</v>
      </c>
      <c r="N300" s="583" t="s">
        <v>96</v>
      </c>
      <c r="O300" s="585" t="s">
        <v>97</v>
      </c>
      <c r="P300" s="583" t="s">
        <v>98</v>
      </c>
      <c r="Q300" s="587" t="s">
        <v>99</v>
      </c>
      <c r="R300" s="589" t="s">
        <v>100</v>
      </c>
      <c r="S300" s="591" t="s">
        <v>101</v>
      </c>
      <c r="T300" s="581"/>
      <c r="U300" s="582"/>
      <c r="V300" s="102"/>
      <c r="W300" s="115"/>
    </row>
    <row r="301" spans="1:23" ht="30" customHeight="1">
      <c r="A301" s="568"/>
      <c r="B301" s="572"/>
      <c r="C301" s="131"/>
      <c r="D301" s="131"/>
      <c r="E301" s="131"/>
      <c r="F301" s="554"/>
      <c r="G301" s="127"/>
      <c r="H301" s="132" t="s">
        <v>103</v>
      </c>
      <c r="I301" s="133" t="s">
        <v>104</v>
      </c>
      <c r="J301" s="134">
        <v>0</v>
      </c>
      <c r="K301" s="135">
        <v>1</v>
      </c>
      <c r="L301" s="584"/>
      <c r="M301" s="584"/>
      <c r="N301" s="584"/>
      <c r="O301" s="586"/>
      <c r="P301" s="584"/>
      <c r="Q301" s="588"/>
      <c r="R301" s="590"/>
      <c r="S301" s="592"/>
      <c r="T301" s="581"/>
      <c r="U301" s="582"/>
      <c r="V301" s="102"/>
      <c r="W301" s="115"/>
    </row>
    <row r="302" spans="1:21" ht="51" customHeight="1">
      <c r="A302" s="568"/>
      <c r="B302" s="137">
        <f>G302</f>
        <v>0</v>
      </c>
      <c r="C302" s="137"/>
      <c r="D302" s="137"/>
      <c r="E302" s="138"/>
      <c r="F302" s="138"/>
      <c r="G302" s="139">
        <f>B$1*B327</f>
        <v>0</v>
      </c>
      <c r="H302" s="140">
        <f aca="true" t="shared" si="27" ref="H302:S302">IF(H303&gt;0,1,0)</f>
        <v>0</v>
      </c>
      <c r="I302" s="141">
        <f t="shared" si="27"/>
        <v>0</v>
      </c>
      <c r="J302" s="141">
        <f t="shared" si="27"/>
        <v>0</v>
      </c>
      <c r="K302" s="142">
        <f t="shared" si="27"/>
        <v>0</v>
      </c>
      <c r="L302" s="142">
        <f t="shared" si="27"/>
        <v>0</v>
      </c>
      <c r="M302" s="142">
        <f t="shared" si="27"/>
        <v>0</v>
      </c>
      <c r="N302" s="142">
        <f t="shared" si="27"/>
        <v>0</v>
      </c>
      <c r="O302" s="141">
        <f t="shared" si="27"/>
        <v>0</v>
      </c>
      <c r="P302" s="142">
        <f t="shared" si="27"/>
        <v>0</v>
      </c>
      <c r="Q302" s="142">
        <f t="shared" si="27"/>
        <v>0</v>
      </c>
      <c r="R302" s="143">
        <f t="shared" si="27"/>
        <v>0</v>
      </c>
      <c r="S302" s="144">
        <f t="shared" si="27"/>
        <v>0</v>
      </c>
      <c r="T302" s="593"/>
      <c r="U302" s="594"/>
    </row>
    <row r="303" spans="1:22" ht="49.5" customHeight="1" thickBot="1">
      <c r="A303" s="568"/>
      <c r="B303" s="595" t="s">
        <v>106</v>
      </c>
      <c r="C303" s="595" t="s">
        <v>107</v>
      </c>
      <c r="D303" s="596" t="s">
        <v>108</v>
      </c>
      <c r="E303" s="148" t="s">
        <v>109</v>
      </c>
      <c r="F303" s="149"/>
      <c r="G303" s="597" t="s">
        <v>110</v>
      </c>
      <c r="H303" s="150">
        <f>IF(B302+B306+B313+B315+C312+D306+F303&gt;0,IF(B318&gt;0,B318-(IF(E306+F306+G306+B310+C310+D310+E310+F310&gt;0,ROUND((B318/30)*IF(E306+F306+G306+B310+C310+D310+E310+F310&lt;31,E306+F306+G306+B310+C310+D310+E310+F310,30),2),0)+ROUND(((B318/G302)*(B306+B313+B315+C312+D306)),2)),0),0)+IF(B302&gt;G302,IF(B318&gt;0,(B302-G302)*B320,0),0)+IF(B319&gt;0,B319*B302,0)-IF(IF(B302+B306+B313+B315+C312+D306+F303&gt;0,IF(B318&gt;0,B318-(IF(E306+F306+G306+B310+C310+D310+E310+F310&gt;0,ROUND((B318/30)*IF(E306+F306+G306+B310+C310+D310+E310+F310&lt;31,E306+F306+G306+B310+C310+D310+E310+F310,30),2),0)+ROUND(((B318/G302)*(B306+B313+B315+C312+D306)),2)),0),0)&lt;0,IF(B302+B306+B313+B315+C312+D306+F303&gt;0,IF(B318&gt;0,B318-(IF(E306+F306+G306+B310+C310+D310+E310+F310&gt;0,ROUND((B318/30)*IF(E306+F306+G306+B310+C310+D310+E310+F310&lt;31,E306+F306+G306+B310+C310+D310+E310+F310,30),2),0)+ROUND(((B318/G302)*(B306+B313+B315+C312+D306)),2)),0),0),0)</f>
        <v>0</v>
      </c>
      <c r="I303" s="151">
        <f>ROUND(D302*ROUND(B320*150%,2)+E302*ROUND(B320*200%,2),2)</f>
        <v>0</v>
      </c>
      <c r="J303" s="151">
        <f>ROUND((J301*H303),2)</f>
        <v>0</v>
      </c>
      <c r="K303" s="151"/>
      <c r="L303" s="151">
        <f>IF(C302&gt;0,C302*ROUND(B320*U$3,2),0)+IF(U$3=0,IF(C302&gt;0,C302*ROUND(20%*ROUND(E$1/G302,2),2),0))</f>
        <v>0</v>
      </c>
      <c r="M303" s="151">
        <f>IF(B306&gt;0,ROUND((B306*C315),2),0)</f>
        <v>0</v>
      </c>
      <c r="N303" s="151">
        <f>IF(B302+D302+E302+F302&gt;0,ROUND((((H303+I303+J303+L303+O303)/(B302+D302+E302+F302))*D306),2),B320*D306)</f>
        <v>0</v>
      </c>
      <c r="O303" s="151">
        <f>ROUND((F302*B320),2)</f>
        <v>0</v>
      </c>
      <c r="P303" s="151">
        <f>IF(C306&gt;0,ROUND((D315/($I$1*8*B327)),2)*C306,0)</f>
        <v>0</v>
      </c>
      <c r="Q303" s="151"/>
      <c r="R303" s="152"/>
      <c r="S303" s="153">
        <f>IF(G320&gt;500,G320-500,0)+IF(F320&gt;190,F320-190,0)</f>
        <v>0</v>
      </c>
      <c r="T303" s="593"/>
      <c r="U303" s="594"/>
      <c r="V303" s="154"/>
    </row>
    <row r="304" spans="1:21" ht="57" customHeight="1">
      <c r="A304" s="568"/>
      <c r="B304" s="554"/>
      <c r="C304" s="554"/>
      <c r="D304" s="554"/>
      <c r="E304" s="599" t="s">
        <v>112</v>
      </c>
      <c r="F304" s="599"/>
      <c r="G304" s="598"/>
      <c r="H304" s="600" t="s">
        <v>113</v>
      </c>
      <c r="I304" s="601"/>
      <c r="J304" s="601"/>
      <c r="K304" s="601"/>
      <c r="L304" s="601"/>
      <c r="M304" s="602">
        <f>H309+I309+M305</f>
        <v>0</v>
      </c>
      <c r="N304" s="603"/>
      <c r="O304" s="604" t="s">
        <v>114</v>
      </c>
      <c r="P304" s="604"/>
      <c r="Q304" s="604"/>
      <c r="R304" s="604"/>
      <c r="S304" s="156">
        <f>S305+O309</f>
        <v>0</v>
      </c>
      <c r="T304" s="605"/>
      <c r="U304" s="606"/>
    </row>
    <row r="305" spans="1:21" ht="38.25" customHeight="1">
      <c r="A305" s="568"/>
      <c r="B305" s="157"/>
      <c r="C305" s="131"/>
      <c r="D305" s="131"/>
      <c r="E305" s="158">
        <v>0.8</v>
      </c>
      <c r="F305" s="158">
        <v>1</v>
      </c>
      <c r="G305" s="159">
        <v>0.8</v>
      </c>
      <c r="H305" s="607" t="s">
        <v>115</v>
      </c>
      <c r="I305" s="608"/>
      <c r="J305" s="609" t="s">
        <v>116</v>
      </c>
      <c r="K305" s="610"/>
      <c r="L305" s="610"/>
      <c r="M305" s="611">
        <f>SUM(J309:N309)</f>
        <v>0</v>
      </c>
      <c r="N305" s="612"/>
      <c r="O305" s="160" t="s">
        <v>117</v>
      </c>
      <c r="P305" s="613" t="s">
        <v>118</v>
      </c>
      <c r="Q305" s="614"/>
      <c r="R305" s="615"/>
      <c r="S305" s="161">
        <f>SUM(P309:S309)</f>
        <v>0</v>
      </c>
      <c r="T305" s="616"/>
      <c r="U305" s="617"/>
    </row>
    <row r="306" spans="1:21" ht="40.5" customHeight="1">
      <c r="A306" s="568"/>
      <c r="B306" s="137"/>
      <c r="C306" s="137"/>
      <c r="D306" s="137"/>
      <c r="E306" s="137"/>
      <c r="F306" s="137"/>
      <c r="G306" s="139"/>
      <c r="H306" s="618" t="s">
        <v>119</v>
      </c>
      <c r="I306" s="162"/>
      <c r="J306" s="620" t="s">
        <v>120</v>
      </c>
      <c r="K306" s="595" t="s">
        <v>121</v>
      </c>
      <c r="L306" s="595" t="s">
        <v>122</v>
      </c>
      <c r="M306" s="595" t="s">
        <v>123</v>
      </c>
      <c r="N306" s="163" t="s">
        <v>124</v>
      </c>
      <c r="O306" s="622" t="s">
        <v>125</v>
      </c>
      <c r="P306" s="624" t="s">
        <v>126</v>
      </c>
      <c r="Q306" s="584" t="s">
        <v>127</v>
      </c>
      <c r="R306" s="634" t="s">
        <v>128</v>
      </c>
      <c r="S306" s="633" t="s">
        <v>129</v>
      </c>
      <c r="T306" s="164"/>
      <c r="U306" s="165"/>
    </row>
    <row r="307" spans="1:21" ht="39.75" customHeight="1">
      <c r="A307" s="568"/>
      <c r="B307" s="571" t="s">
        <v>110</v>
      </c>
      <c r="C307" s="571" t="s">
        <v>130</v>
      </c>
      <c r="D307" s="571" t="s">
        <v>131</v>
      </c>
      <c r="E307" s="571" t="s">
        <v>132</v>
      </c>
      <c r="F307" s="571" t="s">
        <v>110</v>
      </c>
      <c r="G307" s="166" t="s">
        <v>133</v>
      </c>
      <c r="H307" s="619"/>
      <c r="I307" s="167"/>
      <c r="J307" s="621"/>
      <c r="K307" s="554"/>
      <c r="L307" s="554"/>
      <c r="M307" s="554"/>
      <c r="N307" s="168" t="s">
        <v>134</v>
      </c>
      <c r="O307" s="623"/>
      <c r="P307" s="624"/>
      <c r="Q307" s="584"/>
      <c r="R307" s="634"/>
      <c r="S307" s="633"/>
      <c r="T307" s="627">
        <f>I319-S320-P319</f>
        <v>0</v>
      </c>
      <c r="U307" s="628"/>
    </row>
    <row r="308" spans="1:21" ht="35.25" customHeight="1">
      <c r="A308" s="568"/>
      <c r="B308" s="572"/>
      <c r="C308" s="572"/>
      <c r="D308" s="572"/>
      <c r="E308" s="572"/>
      <c r="F308" s="572"/>
      <c r="G308" s="139"/>
      <c r="H308" s="169">
        <f aca="true" t="shared" si="28" ref="H308:M308">IF(H309&gt;0,1,0)</f>
        <v>0</v>
      </c>
      <c r="I308" s="170">
        <f t="shared" si="28"/>
        <v>0</v>
      </c>
      <c r="J308" s="171">
        <f t="shared" si="28"/>
        <v>0</v>
      </c>
      <c r="K308" s="172">
        <f t="shared" si="28"/>
        <v>0</v>
      </c>
      <c r="L308" s="173">
        <f t="shared" si="28"/>
        <v>0</v>
      </c>
      <c r="M308" s="173">
        <f t="shared" si="28"/>
        <v>0</v>
      </c>
      <c r="N308" s="174">
        <v>0</v>
      </c>
      <c r="O308" s="175">
        <f>IF(O309&gt;0,1,0)</f>
        <v>0</v>
      </c>
      <c r="P308" s="171">
        <f>IF(P309&gt;0,1,0)</f>
        <v>0</v>
      </c>
      <c r="Q308" s="173">
        <f>IF(Q309&gt;0,1,0)</f>
        <v>0</v>
      </c>
      <c r="R308" s="173">
        <f>IF(R309&gt;0,1,0)</f>
        <v>0</v>
      </c>
      <c r="S308" s="176">
        <f>IF(S309&gt;0,1,0)</f>
        <v>0</v>
      </c>
      <c r="T308" s="627"/>
      <c r="U308" s="628"/>
    </row>
    <row r="309" spans="1:21" ht="36" customHeight="1" thickBot="1">
      <c r="A309" s="568"/>
      <c r="B309" s="177">
        <v>1</v>
      </c>
      <c r="C309" s="177">
        <v>0.8</v>
      </c>
      <c r="D309" s="572"/>
      <c r="E309" s="572"/>
      <c r="F309" s="177">
        <v>0.7</v>
      </c>
      <c r="G309" s="178">
        <v>0</v>
      </c>
      <c r="H309" s="179">
        <f>IF(E306&gt;0,ROUND((C320*E305),2)*E306,0)+IF(F306&gt;0,C320*F306,0)</f>
        <v>0</v>
      </c>
      <c r="I309" s="180"/>
      <c r="J309" s="181">
        <f>IF(G302&gt;0,IF(B302&gt;=G302,E315-((E315/22)*F315),(E315-(ROUND(((E315/22)*(((G302-B302)/8*B327)+F315)),2))))-IF(B302=0,0,0)-IF(B302&lt;=F315*8*B327,E315-ROUND(((E315/22)*(((G302-B302)/8*B327)+F315)),2),0),0)</f>
        <v>0</v>
      </c>
      <c r="K309" s="182">
        <f>G318-R309</f>
        <v>0</v>
      </c>
      <c r="L309" s="182">
        <f>IF(F320&gt;0,IF(F320&lt;190,F320,190),0)</f>
        <v>0</v>
      </c>
      <c r="M309" s="182"/>
      <c r="N309" s="183">
        <f>IF(N308&gt;0,L$3*B327*N308,0)</f>
        <v>0</v>
      </c>
      <c r="O309" s="184">
        <f>IF(C327&lt;=$P$2,IF(G320&gt;0,IF(G320&lt;500,G320,500),0),0)</f>
        <v>0</v>
      </c>
      <c r="P309" s="181">
        <f>IF(G315&gt;0,ROUND(((G315/G302)*B302),2),0)+G314</f>
        <v>0</v>
      </c>
      <c r="Q309" s="182">
        <f>IF(F313&gt;0,ROUND((F313/G302)*B302,2),0)</f>
        <v>0</v>
      </c>
      <c r="R309" s="182">
        <f>IF(G318&gt;0,IF(G318&lt;380,G318,380),0)</f>
        <v>0</v>
      </c>
      <c r="S309" s="185"/>
      <c r="T309" s="627"/>
      <c r="U309" s="628"/>
    </row>
    <row r="310" spans="1:21" ht="60" customHeight="1" thickBot="1" thickTop="1">
      <c r="A310" s="568"/>
      <c r="B310" s="137"/>
      <c r="C310" s="137"/>
      <c r="D310" s="137"/>
      <c r="E310" s="137"/>
      <c r="F310" s="137"/>
      <c r="G310" s="139">
        <f>IF(L298+L311-Q309-P309-K319-J309&gt;$F$1,IF(G309&gt;0,IF(((H319-S320-L325-L319-J309-K309-L309-O322+P327)*(100%-G309))&gt;=(($F$1*B327)-IF(ROUND(((ROUND(($F$1-C327),0.1)*E327)-D327),0.1)&gt;0,ROUND(((ROUND(($F$1-C327),0.1)*E327)-D327),0.1),0)),((H319-S320-L325-L319-J309-K309-L309-O322+P327)*G309)))+IF(G309&gt;0,IF(((H319-S320-L325-L319-J309-K309-L309-O322+P327)*(100%-G309))&lt;(($F$1*B327)-IF(ROUND(((ROUND(($F$1-C327),0.1)*E327)-D327),0.1)&gt;0,ROUND(((ROUND(($F$1-C327),0.1)*E327)-D327),0.1),0)),(H319-S320-L325-L319-J309-K309-L309-O322+P327)-(($F$1*B327)-IF(ROUND(((ROUND(($F$1-C327),0.1)*E327)-D327),0.1)&gt;0,ROUND(((ROUND(($F$1-C327),0.1)*E327)-D327),0.1),0)))),0)</f>
        <v>0</v>
      </c>
      <c r="H310" s="629" t="s">
        <v>135</v>
      </c>
      <c r="I310" s="630"/>
      <c r="J310" s="630"/>
      <c r="K310" s="575">
        <f>L311+P310</f>
        <v>0</v>
      </c>
      <c r="L310" s="576"/>
      <c r="M310" s="631" t="s">
        <v>136</v>
      </c>
      <c r="N310" s="632"/>
      <c r="O310" s="632"/>
      <c r="P310" s="575">
        <f>P311+S311</f>
        <v>0</v>
      </c>
      <c r="Q310" s="575"/>
      <c r="R310" s="186"/>
      <c r="S310" s="186"/>
      <c r="T310" s="187">
        <v>200</v>
      </c>
      <c r="U310" s="188">
        <f>ROUND(((1400/'[1]Li-pł zlec'!$V$1)*'[1]LI-PŁ-prac'!T310),2)+((H309+L311)-ROUND(((H309+L311)*$N$3),2))+O312+P312+P314+R314+S314-O319-L319-M319</f>
        <v>1750</v>
      </c>
    </row>
    <row r="311" spans="1:21" ht="119.25" customHeight="1">
      <c r="A311" s="568"/>
      <c r="B311" s="189" t="s">
        <v>137</v>
      </c>
      <c r="C311" s="190" t="s">
        <v>138</v>
      </c>
      <c r="D311" s="595" t="s">
        <v>139</v>
      </c>
      <c r="E311" s="649" t="s">
        <v>307</v>
      </c>
      <c r="F311" s="191" t="s">
        <v>140</v>
      </c>
      <c r="G311" s="192" t="s">
        <v>141</v>
      </c>
      <c r="H311" s="651" t="s">
        <v>142</v>
      </c>
      <c r="I311" s="652"/>
      <c r="J311" s="652"/>
      <c r="K311" s="652"/>
      <c r="L311" s="193">
        <f>SUM(H314:L314)</f>
        <v>0</v>
      </c>
      <c r="M311" s="625"/>
      <c r="N311" s="626"/>
      <c r="O311" s="626"/>
      <c r="P311" s="193"/>
      <c r="Q311" s="635"/>
      <c r="R311" s="636"/>
      <c r="S311" s="194"/>
      <c r="T311" s="637"/>
      <c r="U311" s="638"/>
    </row>
    <row r="312" spans="1:21" ht="141" customHeight="1" thickBot="1">
      <c r="A312" s="568"/>
      <c r="B312" s="195" t="s">
        <v>143</v>
      </c>
      <c r="C312" s="196"/>
      <c r="D312" s="554"/>
      <c r="E312" s="650"/>
      <c r="F312" s="197">
        <f>IF(F313&gt;0,1,0)</f>
        <v>0</v>
      </c>
      <c r="G312" s="155" t="s">
        <v>308</v>
      </c>
      <c r="H312" s="198" t="s">
        <v>144</v>
      </c>
      <c r="I312" s="199" t="s">
        <v>145</v>
      </c>
      <c r="J312" s="199" t="s">
        <v>146</v>
      </c>
      <c r="K312" s="199" t="s">
        <v>147</v>
      </c>
      <c r="L312" s="200" t="s">
        <v>148</v>
      </c>
      <c r="M312" s="201"/>
      <c r="N312" s="202"/>
      <c r="O312" s="203"/>
      <c r="P312" s="204"/>
      <c r="Q312" s="205"/>
      <c r="R312" s="206"/>
      <c r="S312" s="207"/>
      <c r="T312" s="637"/>
      <c r="U312" s="638"/>
    </row>
    <row r="313" spans="1:21" ht="51.75" customHeight="1">
      <c r="A313" s="568"/>
      <c r="B313" s="208"/>
      <c r="C313" s="595" t="s">
        <v>149</v>
      </c>
      <c r="D313" s="554"/>
      <c r="E313" s="209"/>
      <c r="F313" s="210">
        <f>IF(T299&gt;0,$H$3,0)</f>
        <v>0</v>
      </c>
      <c r="G313" s="211">
        <f>IF(G314+G315&gt;0,1,0)</f>
        <v>0</v>
      </c>
      <c r="H313" s="212">
        <f>IF(H314&gt;0,1,0)</f>
        <v>0</v>
      </c>
      <c r="I313" s="213">
        <f>IF(I314&gt;0,1,0)</f>
        <v>0</v>
      </c>
      <c r="J313" s="213">
        <f>IF(J314&gt;0,1,0)</f>
        <v>0</v>
      </c>
      <c r="K313" s="213">
        <f>IF(K314&gt;0,1,0)</f>
        <v>0</v>
      </c>
      <c r="L313" s="214">
        <f>IF(L314&gt;0,1,0)</f>
        <v>0</v>
      </c>
      <c r="M313" s="639" t="s">
        <v>150</v>
      </c>
      <c r="N313" s="640"/>
      <c r="O313" s="641"/>
      <c r="P313" s="642"/>
      <c r="Q313" s="215"/>
      <c r="R313" s="216"/>
      <c r="S313" s="217"/>
      <c r="T313" s="643"/>
      <c r="U313" s="644"/>
    </row>
    <row r="314" spans="1:21" ht="60.75" customHeight="1" thickBot="1">
      <c r="A314" s="568"/>
      <c r="B314" s="218" t="s">
        <v>151</v>
      </c>
      <c r="C314" s="554"/>
      <c r="D314" s="131"/>
      <c r="E314" s="219">
        <f>IF(E313&gt;0,C$3,0)</f>
        <v>0</v>
      </c>
      <c r="F314" s="220" t="s">
        <v>152</v>
      </c>
      <c r="G314" s="221"/>
      <c r="H314" s="179">
        <f>IF(G306&gt;0,(ROUND((C320*G305),2)*G306),0)+IF(B310&gt;0,(ROUND((C320*B309),2)*B310),0)+IF(F310&gt;0,(ROUND((C320*F309),2)*F310),0)</f>
        <v>0</v>
      </c>
      <c r="I314" s="182">
        <f>IF(E310&gt;0,(ROUND(((D320*D319)/30),2)*E310),0)</f>
        <v>0</v>
      </c>
      <c r="J314" s="182">
        <f>IF(C310&gt;0,(ROUND(C320*C309,2)*C310),0)</f>
        <v>0</v>
      </c>
      <c r="K314" s="182">
        <f>IF(D310&gt;0,(ROUND(C320,2)*D310),0)</f>
        <v>0</v>
      </c>
      <c r="L314" s="222">
        <f>E320</f>
        <v>0</v>
      </c>
      <c r="M314" s="645">
        <f>Q299+M304+L311</f>
        <v>0</v>
      </c>
      <c r="N314" s="646"/>
      <c r="O314" s="202"/>
      <c r="P314" s="223"/>
      <c r="Q314" s="224"/>
      <c r="R314" s="182"/>
      <c r="S314" s="185"/>
      <c r="T314" s="695" t="s">
        <v>153</v>
      </c>
      <c r="U314" s="696"/>
    </row>
    <row r="315" spans="1:21" ht="41.25" customHeight="1" thickTop="1">
      <c r="A315" s="568"/>
      <c r="B315" s="208"/>
      <c r="C315" s="208"/>
      <c r="D315" s="208"/>
      <c r="E315" s="203">
        <f>ROUND((E313*E314),2)</f>
        <v>0</v>
      </c>
      <c r="F315" s="225"/>
      <c r="G315" s="226"/>
      <c r="H315" s="653" t="s">
        <v>309</v>
      </c>
      <c r="I315" s="655" t="s">
        <v>154</v>
      </c>
      <c r="J315" s="657" t="s">
        <v>155</v>
      </c>
      <c r="K315" s="660" t="s">
        <v>156</v>
      </c>
      <c r="L315" s="661" t="s">
        <v>157</v>
      </c>
      <c r="M315" s="661"/>
      <c r="N315" s="661"/>
      <c r="O315" s="662"/>
      <c r="P315" s="663" t="s">
        <v>158</v>
      </c>
      <c r="Q315" s="227" t="s">
        <v>159</v>
      </c>
      <c r="R315" s="228" t="s">
        <v>160</v>
      </c>
      <c r="S315" s="229" t="s">
        <v>161</v>
      </c>
      <c r="T315" s="695" t="s">
        <v>162</v>
      </c>
      <c r="U315" s="696"/>
    </row>
    <row r="316" spans="1:21" ht="92.25" customHeight="1">
      <c r="A316" s="568"/>
      <c r="B316" s="664" t="s">
        <v>163</v>
      </c>
      <c r="C316" s="117" t="s">
        <v>164</v>
      </c>
      <c r="D316" s="337" t="s">
        <v>165</v>
      </c>
      <c r="E316" s="146" t="s">
        <v>166</v>
      </c>
      <c r="F316" s="697" t="s">
        <v>167</v>
      </c>
      <c r="G316" s="191" t="s">
        <v>168</v>
      </c>
      <c r="H316" s="654"/>
      <c r="I316" s="656"/>
      <c r="J316" s="658"/>
      <c r="K316" s="584"/>
      <c r="L316" s="232" t="s">
        <v>169</v>
      </c>
      <c r="M316" s="123" t="s">
        <v>170</v>
      </c>
      <c r="N316" s="136" t="s">
        <v>171</v>
      </c>
      <c r="O316" s="136" t="s">
        <v>172</v>
      </c>
      <c r="P316" s="556"/>
      <c r="Q316" s="233">
        <f>ROUND(IF(S321&gt;$N$4,IF(S321&lt;=$O$4,7866.25+((S321-$N$4)*$O$3)),0)+IF(S321&gt;$O$4,20177.65+((S321-$O$4)*$P$3),0)+IF(S321&lt;=$N$4,IF(S321*E327&gt;0,S321*E327),0),0.1)</f>
        <v>0</v>
      </c>
      <c r="R316" s="234">
        <f>IF(L311&gt;0,ROUND((ROUND((L311),0.1)*E327),0.1),0)</f>
        <v>0</v>
      </c>
      <c r="S316" s="235">
        <f>IF(Q316+R316-D327&gt;=0,Q316+R316-D327,0)+IF(D327-Q316+R316&gt;0&lt;D327+0.001,Q316+R316-D327,0)</f>
        <v>0</v>
      </c>
      <c r="T316" s="695" t="s">
        <v>173</v>
      </c>
      <c r="U316" s="696"/>
    </row>
    <row r="317" spans="1:21" ht="36.75" customHeight="1">
      <c r="A317" s="568"/>
      <c r="B317" s="665"/>
      <c r="C317" s="230"/>
      <c r="D317" s="236"/>
      <c r="E317" s="237"/>
      <c r="F317" s="698"/>
      <c r="G317" s="239" t="s">
        <v>310</v>
      </c>
      <c r="H317" s="654"/>
      <c r="I317" s="656"/>
      <c r="J317" s="658"/>
      <c r="K317" s="584"/>
      <c r="L317" s="123"/>
      <c r="M317" s="240"/>
      <c r="N317" s="241"/>
      <c r="O317" s="136"/>
      <c r="P317" s="556"/>
      <c r="Q317" s="668" t="s">
        <v>174</v>
      </c>
      <c r="R317" s="669"/>
      <c r="S317" s="235">
        <f>ROUND(IF(S316&gt;=L327,S316-L327,0),0.1)</f>
        <v>0</v>
      </c>
      <c r="T317" s="338" t="str">
        <f>L$8</f>
        <v>styczeń</v>
      </c>
      <c r="U317" s="339" t="str">
        <f>N$8</f>
        <v>2011 r.</v>
      </c>
    </row>
    <row r="318" spans="1:21" ht="48" customHeight="1">
      <c r="A318" s="568"/>
      <c r="B318" s="244">
        <f>IF(B319=0,IF(T299&gt;0,IF(T304&gt;0,IF(T304="I kl",O$1)+IF(T304="II kl",P$1)+IF(T304="III kl",Q$1),ROUND((E$1*B327),2)),0),0)</f>
        <v>0</v>
      </c>
      <c r="C318" s="118" t="s">
        <v>175</v>
      </c>
      <c r="D318" s="123" t="s">
        <v>176</v>
      </c>
      <c r="E318" s="245"/>
      <c r="F318" s="698"/>
      <c r="G318" s="139"/>
      <c r="H318" s="246">
        <f>IF(H319&gt;0,1,0)</f>
        <v>0</v>
      </c>
      <c r="I318" s="247">
        <f>IF(I319&gt;0,1,0)</f>
        <v>0</v>
      </c>
      <c r="J318" s="658"/>
      <c r="K318" s="248">
        <f aca="true" t="shared" si="29" ref="K318:P318">IF(K319&gt;0,1,0)</f>
        <v>0</v>
      </c>
      <c r="L318" s="249">
        <f t="shared" si="29"/>
        <v>0</v>
      </c>
      <c r="M318" s="250">
        <f t="shared" si="29"/>
        <v>0</v>
      </c>
      <c r="N318" s="249">
        <f t="shared" si="29"/>
        <v>0</v>
      </c>
      <c r="O318" s="251">
        <f t="shared" si="29"/>
        <v>0</v>
      </c>
      <c r="P318" s="252">
        <f t="shared" si="29"/>
        <v>0</v>
      </c>
      <c r="Q318" s="670" t="s">
        <v>177</v>
      </c>
      <c r="R318" s="253" t="s">
        <v>178</v>
      </c>
      <c r="S318" s="235">
        <v>0</v>
      </c>
      <c r="T318" s="647" t="s">
        <v>179</v>
      </c>
      <c r="U318" s="648"/>
    </row>
    <row r="319" spans="1:21" ht="57.75" customHeight="1" thickBot="1">
      <c r="A319" s="568"/>
      <c r="B319" s="254"/>
      <c r="C319" s="230"/>
      <c r="D319" s="177">
        <v>0.9</v>
      </c>
      <c r="E319" s="255">
        <f>IF(E317&gt;0,$U$1-E318,0)</f>
        <v>0</v>
      </c>
      <c r="F319" s="238">
        <f>IF(F320&gt;0,1,0)</f>
        <v>0</v>
      </c>
      <c r="G319" s="256" t="s">
        <v>180</v>
      </c>
      <c r="H319" s="257">
        <f>P298+L311-P327</f>
        <v>0</v>
      </c>
      <c r="I319" s="233">
        <f>L298+K310</f>
        <v>0</v>
      </c>
      <c r="J319" s="659"/>
      <c r="K319" s="244">
        <f>S303+K309+L309+O309+R309+O322+L325-N319</f>
        <v>0</v>
      </c>
      <c r="L319" s="244"/>
      <c r="M319" s="244">
        <f>G308+IF(G310&gt;0,G310,0)</f>
        <v>0</v>
      </c>
      <c r="N319" s="244">
        <f>L325-L327</f>
        <v>0</v>
      </c>
      <c r="O319" s="244"/>
      <c r="P319" s="258">
        <f>SUM(K319:O319)</f>
        <v>0</v>
      </c>
      <c r="Q319" s="671"/>
      <c r="R319" s="259" t="s">
        <v>181</v>
      </c>
      <c r="S319" s="235">
        <v>0</v>
      </c>
      <c r="T319" s="647" t="s">
        <v>182</v>
      </c>
      <c r="U319" s="648"/>
    </row>
    <row r="320" spans="1:21" ht="45.75" customHeight="1" thickBot="1" thickTop="1">
      <c r="A320" s="569"/>
      <c r="B320" s="244">
        <f>IF(B319=0,ROUND(IF(B318&gt;0,CEILING((B318/G302),0.01),B319),2),B319)</f>
        <v>0</v>
      </c>
      <c r="C320" s="244">
        <f>IF(T299&gt;0,(IF(C317&gt;0,ROUND(((C317-(C317*(B323+C323+D323)))/30),2),0)+IF(C319&gt;0,ROUND((C319/30),2),0))+(IF(IF(C317&gt;0,ROUND(((C317-(C317*(B323+C323+D323)))/30),2),0)+IF(C319&gt;0,ROUND((C319/30),2),0)&lt;ROUND((($F$1*B327)/30),2),(IF(C317+C319&gt;0,ROUND((($F$1*B327)/30),2)-(IF(C317&gt;0,ROUND(((C317-(C317*(B323+C323+D323)))/30),2),0)+IF(C319&gt;0,ROUND((C319/30),2),0)))),0)),0)</f>
        <v>0</v>
      </c>
      <c r="D320" s="244"/>
      <c r="E320" s="244">
        <f>IF(E319&gt;0,IF(ROUND(E317-((E317/30)*E318),2)-H322+O322&gt;0,ROUND(E317-((E317/30)*E318),2)-H322+O322,0),0)</f>
        <v>0</v>
      </c>
      <c r="F320" s="137"/>
      <c r="G320" s="139"/>
      <c r="H320" s="672" t="s">
        <v>183</v>
      </c>
      <c r="I320" s="673"/>
      <c r="J320" s="673"/>
      <c r="K320" s="673"/>
      <c r="L320" s="673"/>
      <c r="M320" s="674" t="s">
        <v>184</v>
      </c>
      <c r="N320" s="675"/>
      <c r="O320" s="260" t="s">
        <v>185</v>
      </c>
      <c r="P320" s="261" t="s">
        <v>186</v>
      </c>
      <c r="Q320" s="676" t="s">
        <v>187</v>
      </c>
      <c r="R320" s="677"/>
      <c r="S320" s="262">
        <f>ROUND((IF(S317-S318&gt;=0,S317-S318,0)+S319),0.1)</f>
        <v>0</v>
      </c>
      <c r="T320" s="263" t="str">
        <f>L$8</f>
        <v>styczeń</v>
      </c>
      <c r="U320" s="264" t="str">
        <f>N$8</f>
        <v>2011 r.</v>
      </c>
    </row>
    <row r="321" spans="1:21" ht="69.75" customHeight="1" thickBot="1" thickTop="1">
      <c r="A321" s="568"/>
      <c r="B321" s="699" t="s">
        <v>188</v>
      </c>
      <c r="C321" s="700"/>
      <c r="D321" s="700"/>
      <c r="E321" s="701"/>
      <c r="F321" s="265" t="s">
        <v>189</v>
      </c>
      <c r="G321" s="266" t="s">
        <v>190</v>
      </c>
      <c r="H321" s="267" t="s">
        <v>191</v>
      </c>
      <c r="I321" s="268" t="s">
        <v>192</v>
      </c>
      <c r="J321" s="269" t="s">
        <v>193</v>
      </c>
      <c r="K321" s="238" t="s">
        <v>194</v>
      </c>
      <c r="L321" s="270" t="s">
        <v>195</v>
      </c>
      <c r="M321" s="198" t="s">
        <v>196</v>
      </c>
      <c r="N321" s="271" t="s">
        <v>197</v>
      </c>
      <c r="O321" s="294" t="s">
        <v>198</v>
      </c>
      <c r="P321" s="273" t="s">
        <v>199</v>
      </c>
      <c r="Q321" s="340" t="s">
        <v>200</v>
      </c>
      <c r="R321" s="275" t="s">
        <v>201</v>
      </c>
      <c r="S321" s="276">
        <f>IF(ROUND((P298-P327-C327),0.1)&gt;0,ROUND((P298-P327-C327),0.1),0)</f>
        <v>0</v>
      </c>
      <c r="T321" s="277"/>
      <c r="U321" s="278"/>
    </row>
    <row r="322" spans="1:21" ht="81" customHeight="1" thickTop="1">
      <c r="A322" s="568"/>
      <c r="B322" s="279" t="s">
        <v>202</v>
      </c>
      <c r="C322" s="279" t="s">
        <v>203</v>
      </c>
      <c r="D322" s="279" t="s">
        <v>204</v>
      </c>
      <c r="E322" s="279" t="s">
        <v>205</v>
      </c>
      <c r="F322" s="279" t="s">
        <v>206</v>
      </c>
      <c r="G322" s="280">
        <f>ROUND((H322*G324),2)</f>
        <v>0</v>
      </c>
      <c r="H322" s="281">
        <f>Q299+O309</f>
        <v>0</v>
      </c>
      <c r="I322" s="282">
        <f>Q299+O309</f>
        <v>0</v>
      </c>
      <c r="J322" s="282">
        <f>Q299+O309</f>
        <v>0</v>
      </c>
      <c r="K322" s="282">
        <f>Q299+O309</f>
        <v>0</v>
      </c>
      <c r="L322" s="283">
        <f>Q299+H309+I309-O322+O309</f>
        <v>0</v>
      </c>
      <c r="M322" s="284">
        <f>IF(D317&gt;0,IF(D317&lt;$U$1,ROUND((($E$1/$U$1)*D317),2),$E$1))+IF(K314&gt;0,K314,0)</f>
        <v>0</v>
      </c>
      <c r="N322" s="285">
        <f>M322</f>
        <v>0</v>
      </c>
      <c r="O322" s="286">
        <f>SUM(H325:J325)</f>
        <v>0</v>
      </c>
      <c r="P322" s="287">
        <f>IF(P323&gt;0,1,0)</f>
        <v>0</v>
      </c>
      <c r="Q322" s="288">
        <f>ROUND((H322-O309-P327+H309+I309)*$R$3,2)</f>
        <v>0</v>
      </c>
      <c r="R322" s="681" t="s">
        <v>207</v>
      </c>
      <c r="S322" s="683" t="s">
        <v>311</v>
      </c>
      <c r="T322" s="289"/>
      <c r="U322" s="278"/>
    </row>
    <row r="323" spans="1:21" ht="38.25" customHeight="1">
      <c r="A323" s="568"/>
      <c r="B323" s="158">
        <f>IF(H322&gt;0,B$2,0)</f>
        <v>0</v>
      </c>
      <c r="C323" s="158">
        <f>IF(I322&gt;0,H$4,0)</f>
        <v>0</v>
      </c>
      <c r="D323" s="158">
        <f>IF(J322&gt;0,F$2,0)</f>
        <v>0</v>
      </c>
      <c r="E323" s="158" t="s">
        <v>208</v>
      </c>
      <c r="F323" s="290" t="s">
        <v>209</v>
      </c>
      <c r="G323" s="291">
        <v>0</v>
      </c>
      <c r="H323" s="685" t="s">
        <v>210</v>
      </c>
      <c r="I323" s="686"/>
      <c r="J323" s="686"/>
      <c r="K323" s="686"/>
      <c r="L323" s="686"/>
      <c r="M323" s="292" t="s">
        <v>211</v>
      </c>
      <c r="N323" s="293" t="s">
        <v>212</v>
      </c>
      <c r="O323" s="294" t="s">
        <v>213</v>
      </c>
      <c r="P323" s="52">
        <f>IF(I322&lt;$E$1,IF(B327=1,IF(T304=0,ROUND((I322*$L$2),2),0),0),ROUND((I322*$L$2),2))</f>
        <v>0</v>
      </c>
      <c r="Q323" s="295" t="s">
        <v>214</v>
      </c>
      <c r="R323" s="682"/>
      <c r="S323" s="684"/>
      <c r="T323" s="289"/>
      <c r="U323" s="278"/>
    </row>
    <row r="324" spans="1:21" ht="42.75" customHeight="1" thickBot="1">
      <c r="A324" s="568"/>
      <c r="B324" s="158">
        <f>IF(H322&gt;0,B$2,0)</f>
        <v>0</v>
      </c>
      <c r="C324" s="158">
        <f>IF(I322&gt;0,D$2,0)</f>
        <v>0</v>
      </c>
      <c r="D324" s="158" t="s">
        <v>208</v>
      </c>
      <c r="E324" s="158">
        <f>IF(K322&gt;0,H$2,0)</f>
        <v>0</v>
      </c>
      <c r="F324" s="158">
        <f>IF(L322&gt;0,J$2,0)</f>
        <v>0</v>
      </c>
      <c r="G324" s="158">
        <f>IF(G323&gt;0,L$1,0)</f>
        <v>0</v>
      </c>
      <c r="H324" s="296" t="s">
        <v>215</v>
      </c>
      <c r="I324" s="297" t="s">
        <v>215</v>
      </c>
      <c r="J324" s="297" t="s">
        <v>215</v>
      </c>
      <c r="K324" s="298" t="s">
        <v>209</v>
      </c>
      <c r="L324" s="299" t="s">
        <v>215</v>
      </c>
      <c r="M324" s="300">
        <f>ROUND(M322*(B$2+B$2),2)</f>
        <v>0</v>
      </c>
      <c r="N324" s="301">
        <f>ROUND(N322*(D$2+H$4),2)</f>
        <v>0</v>
      </c>
      <c r="O324" s="302">
        <f>H327+I327+K327+G322</f>
        <v>0</v>
      </c>
      <c r="P324" s="303" t="s">
        <v>216</v>
      </c>
      <c r="Q324" s="304">
        <f>ROUND((L322*J$2),2)</f>
        <v>0</v>
      </c>
      <c r="R324" s="305" t="s">
        <v>217</v>
      </c>
      <c r="S324" s="684"/>
      <c r="T324" s="289"/>
      <c r="U324" s="278"/>
    </row>
    <row r="325" spans="1:21" ht="53.25" customHeight="1" thickBot="1" thickTop="1">
      <c r="A325" s="568"/>
      <c r="B325" s="141">
        <f>IF(B323+B324&gt;0,1,0)</f>
        <v>0</v>
      </c>
      <c r="C325" s="141">
        <f>IF(C323+C324&gt;0,1,0)</f>
        <v>0</v>
      </c>
      <c r="D325" s="141">
        <f>IF(D323&gt;0,1,0)</f>
        <v>0</v>
      </c>
      <c r="E325" s="141">
        <f>IF(E324&gt;0,1,0)</f>
        <v>0</v>
      </c>
      <c r="F325" s="141">
        <f>IF(F324&gt;0,1,0)</f>
        <v>0</v>
      </c>
      <c r="G325" s="141">
        <f>IF(G324&gt;0,1,0)</f>
        <v>0</v>
      </c>
      <c r="H325" s="306">
        <f>ROUND(H322*B323,2)</f>
        <v>0</v>
      </c>
      <c r="I325" s="307">
        <f>ROUND(I322*C323,2)</f>
        <v>0</v>
      </c>
      <c r="J325" s="307">
        <f>ROUND(J322*D323,2)</f>
        <v>0</v>
      </c>
      <c r="K325" s="244" t="s">
        <v>209</v>
      </c>
      <c r="L325" s="307">
        <f>IF(S316&gt;=ROUND(L322*F324,2),ROUND(L322*F324,2),S316)</f>
        <v>0</v>
      </c>
      <c r="M325" s="687" t="s">
        <v>218</v>
      </c>
      <c r="N325" s="688"/>
      <c r="O325" s="689" t="s">
        <v>219</v>
      </c>
      <c r="P325" s="308">
        <f>IF(P326&gt;0,1,0)</f>
        <v>0</v>
      </c>
      <c r="Q325" s="309" t="s">
        <v>220</v>
      </c>
      <c r="R325" s="310">
        <f>IF(B302=G302,H303+I303+J303+L303+O303+R303+IF(K303&gt;0,ROUND((K303/K301),2),0),0)+IF(B302&lt;G302,IF(B302&gt;0,ROUND((((H303+J303)/B302)*(G302-B315)),2)+IF(K303&gt;0,ROUND((K303/K301),2),0)+I303+L303+O303+R303,0),0)</f>
        <v>0</v>
      </c>
      <c r="S325" s="235">
        <f>IF(S317-S318&lt;0,S318-S317,0)</f>
        <v>0</v>
      </c>
      <c r="T325" s="289"/>
      <c r="U325" s="278"/>
    </row>
    <row r="326" spans="1:22" ht="63" customHeight="1" thickBot="1" thickTop="1">
      <c r="A326" s="568"/>
      <c r="B326" s="311" t="s">
        <v>221</v>
      </c>
      <c r="C326" s="311" t="s">
        <v>222</v>
      </c>
      <c r="D326" s="311" t="s">
        <v>34</v>
      </c>
      <c r="E326" s="146" t="s">
        <v>223</v>
      </c>
      <c r="F326" s="312" t="s">
        <v>224</v>
      </c>
      <c r="G326" s="139">
        <f>IF(Q322&gt;Q316,Q322-Q316,0)</f>
        <v>0</v>
      </c>
      <c r="H326" s="313" t="s">
        <v>225</v>
      </c>
      <c r="I326" s="314" t="s">
        <v>225</v>
      </c>
      <c r="J326" s="298" t="s">
        <v>209</v>
      </c>
      <c r="K326" s="315" t="s">
        <v>225</v>
      </c>
      <c r="L326" s="316" t="s">
        <v>226</v>
      </c>
      <c r="M326" s="317" t="s">
        <v>227</v>
      </c>
      <c r="N326" s="318" t="s">
        <v>228</v>
      </c>
      <c r="O326" s="690"/>
      <c r="P326" s="319">
        <f>ROUND(N$2*H322,2)</f>
        <v>0</v>
      </c>
      <c r="Q326" s="320">
        <f>IF(D317&gt;0,$U$2,0)</f>
        <v>0</v>
      </c>
      <c r="R326" s="321" t="s">
        <v>229</v>
      </c>
      <c r="S326" s="322" t="s">
        <v>230</v>
      </c>
      <c r="T326" s="691" t="s">
        <v>231</v>
      </c>
      <c r="U326" s="702"/>
      <c r="V326" s="323">
        <f>IF(ISBLANK(AM298),0,IF(IF(AF313&gt;=AI$2,AI$2,AF313)&gt;0,IF(AF313&gt;=AI$2,AI$2,AF313),0))</f>
        <v>0</v>
      </c>
    </row>
    <row r="327" spans="1:22" ht="42" customHeight="1" thickBot="1" thickTop="1">
      <c r="A327" s="570"/>
      <c r="B327" s="324">
        <f>IF(ISBLANK(T299),0,1)</f>
        <v>0</v>
      </c>
      <c r="C327" s="324">
        <f>IF(ISBLANK(T299),0,IF(IF(M314&gt;=P$2,P$2,M314)&gt;0,IF(M314&gt;=P$2,P$2,M314),0))</f>
        <v>0</v>
      </c>
      <c r="D327" s="324">
        <f>IF(ISBLANK(T299),0,S$1)</f>
        <v>0</v>
      </c>
      <c r="E327" s="325">
        <f>IF(G302&gt;0,$N$3,0)</f>
        <v>0</v>
      </c>
      <c r="F327" s="326">
        <f>O322+O324+P323+P326+L325+S320</f>
        <v>0</v>
      </c>
      <c r="G327" s="327">
        <f>IF(G326&gt;0,1,0)</f>
        <v>0</v>
      </c>
      <c r="H327" s="328">
        <f>ROUND(H322*B323,2)</f>
        <v>0</v>
      </c>
      <c r="I327" s="329">
        <f>ROUND(I322*C324,2)</f>
        <v>0</v>
      </c>
      <c r="J327" s="182" t="s">
        <v>209</v>
      </c>
      <c r="K327" s="330">
        <f>ROUND(K322*E324,2)</f>
        <v>0</v>
      </c>
      <c r="L327" s="185">
        <f>IF(S316&gt;=ROUND((H322-O309-P327+H309+I309)*$R$3,2),ROUND((H322-O309-P327+H309+I309)*$R$3,2),S316)</f>
        <v>0</v>
      </c>
      <c r="M327" s="179">
        <f>O322+O324</f>
        <v>0</v>
      </c>
      <c r="N327" s="331">
        <f>M327+L325</f>
        <v>0</v>
      </c>
      <c r="O327" s="332">
        <f>SUM(M324:N324)</f>
        <v>0</v>
      </c>
      <c r="P327" s="333">
        <f>ROUND(Q299*B323,2)+ROUND(Q299*C323,2)+ROUND(Q299*D323,2)</f>
        <v>0</v>
      </c>
      <c r="Q327" s="334">
        <f>IF(D317&gt;0,ROUND(($U$2*J$2),2),0)</f>
        <v>0</v>
      </c>
      <c r="R327" s="335">
        <f>IF(B302&gt;=G302/2,IF(B302=G302,H303+I303+J303+L303+O303+P303+R303+IF(K303&gt;0,ROUND((K303/K301),2),0),ROUND((((H303+J303+L303)/B302)*(G302-B315)),2)+IF(K303&gt;0,ROUND((K303/K301),2),0)+I303+O303+P303+R303),0)</f>
        <v>0</v>
      </c>
      <c r="S327" s="336">
        <f>IF(P298-O322-S320-L325&gt;0,P298-O322-S320-L325,0)</f>
        <v>0</v>
      </c>
      <c r="T327" s="693" t="s">
        <v>232</v>
      </c>
      <c r="U327" s="703"/>
      <c r="V327" s="323">
        <f>IF(ISBLANK(AM299),0,IF(IF(AF314&gt;=AJ$2,AJ$2,AF314)&gt;0,IF(AF314&gt;=AJ$2,AJ$2,AF314),0))</f>
        <v>0</v>
      </c>
    </row>
    <row r="328" ht="24" customHeight="1" thickTop="1"/>
    <row r="329" spans="1:23" ht="33" customHeight="1" thickBot="1">
      <c r="A329" s="111" t="s">
        <v>72</v>
      </c>
      <c r="B329" s="112" t="s">
        <v>73</v>
      </c>
      <c r="C329" s="113"/>
      <c r="D329" s="113"/>
      <c r="E329" s="114"/>
      <c r="F329" s="553" t="s">
        <v>74</v>
      </c>
      <c r="G329" s="555" t="s">
        <v>75</v>
      </c>
      <c r="H329" s="557" t="s">
        <v>76</v>
      </c>
      <c r="I329" s="557"/>
      <c r="J329" s="558"/>
      <c r="K329" s="559"/>
      <c r="L329" s="560"/>
      <c r="M329" s="560"/>
      <c r="N329" s="560"/>
      <c r="O329" s="561"/>
      <c r="P329" s="559"/>
      <c r="Q329" s="560"/>
      <c r="R329" s="560"/>
      <c r="S329" s="560"/>
      <c r="T329" s="565" t="s">
        <v>77</v>
      </c>
      <c r="U329" s="566"/>
      <c r="V329" s="102"/>
      <c r="W329" s="115"/>
    </row>
    <row r="330" spans="1:23" ht="44.25" customHeight="1" thickBot="1" thickTop="1">
      <c r="A330" s="567">
        <f>A298+1</f>
        <v>11</v>
      </c>
      <c r="B330" s="571" t="s">
        <v>79</v>
      </c>
      <c r="C330" s="571" t="s">
        <v>80</v>
      </c>
      <c r="D330" s="573" t="s">
        <v>81</v>
      </c>
      <c r="E330" s="573"/>
      <c r="F330" s="554"/>
      <c r="G330" s="556"/>
      <c r="H330" s="574" t="s">
        <v>82</v>
      </c>
      <c r="I330" s="574"/>
      <c r="J330" s="574"/>
      <c r="K330" s="574"/>
      <c r="L330" s="575">
        <f>P330+S336</f>
        <v>0</v>
      </c>
      <c r="M330" s="576"/>
      <c r="N330" s="577" t="s">
        <v>83</v>
      </c>
      <c r="O330" s="578"/>
      <c r="P330" s="575">
        <f>Q331+M336</f>
        <v>0</v>
      </c>
      <c r="Q330" s="576"/>
      <c r="R330" s="119"/>
      <c r="S330" s="120"/>
      <c r="T330" s="121"/>
      <c r="U330" s="122"/>
      <c r="V330" s="102"/>
      <c r="W330" s="115"/>
    </row>
    <row r="331" spans="1:23" ht="36.75" customHeight="1">
      <c r="A331" s="568"/>
      <c r="B331" s="572"/>
      <c r="C331" s="572"/>
      <c r="D331" s="124" t="s">
        <v>85</v>
      </c>
      <c r="E331" s="124" t="s">
        <v>86</v>
      </c>
      <c r="F331" s="554"/>
      <c r="G331" s="556"/>
      <c r="H331" s="562" t="s">
        <v>87</v>
      </c>
      <c r="I331" s="563"/>
      <c r="J331" s="563"/>
      <c r="K331" s="563"/>
      <c r="L331" s="563"/>
      <c r="M331" s="563"/>
      <c r="N331" s="563"/>
      <c r="O331" s="563"/>
      <c r="P331" s="564"/>
      <c r="Q331" s="579">
        <f>SUM(H335:S335)</f>
        <v>0</v>
      </c>
      <c r="R331" s="580"/>
      <c r="S331" s="125"/>
      <c r="T331" s="581"/>
      <c r="U331" s="582"/>
      <c r="V331" s="102"/>
      <c r="W331" s="115"/>
    </row>
    <row r="332" spans="1:23" ht="38.25" customHeight="1">
      <c r="A332" s="568"/>
      <c r="B332" s="572"/>
      <c r="C332" s="126"/>
      <c r="D332" s="124" t="s">
        <v>89</v>
      </c>
      <c r="E332" s="124" t="s">
        <v>89</v>
      </c>
      <c r="F332" s="554"/>
      <c r="G332" s="127"/>
      <c r="H332" s="128" t="s">
        <v>90</v>
      </c>
      <c r="I332" s="129" t="s">
        <v>91</v>
      </c>
      <c r="J332" s="129" t="s">
        <v>92</v>
      </c>
      <c r="K332" s="130" t="s">
        <v>93</v>
      </c>
      <c r="L332" s="583" t="s">
        <v>94</v>
      </c>
      <c r="M332" s="583" t="s">
        <v>95</v>
      </c>
      <c r="N332" s="583" t="s">
        <v>96</v>
      </c>
      <c r="O332" s="585" t="s">
        <v>97</v>
      </c>
      <c r="P332" s="583" t="s">
        <v>98</v>
      </c>
      <c r="Q332" s="587" t="s">
        <v>99</v>
      </c>
      <c r="R332" s="589" t="s">
        <v>100</v>
      </c>
      <c r="S332" s="591" t="s">
        <v>101</v>
      </c>
      <c r="T332" s="581"/>
      <c r="U332" s="582"/>
      <c r="V332" s="102"/>
      <c r="W332" s="115"/>
    </row>
    <row r="333" spans="1:23" ht="30" customHeight="1">
      <c r="A333" s="568"/>
      <c r="B333" s="572"/>
      <c r="C333" s="131"/>
      <c r="D333" s="131"/>
      <c r="E333" s="131"/>
      <c r="F333" s="554"/>
      <c r="G333" s="127"/>
      <c r="H333" s="132" t="s">
        <v>103</v>
      </c>
      <c r="I333" s="133" t="s">
        <v>104</v>
      </c>
      <c r="J333" s="134">
        <v>0</v>
      </c>
      <c r="K333" s="135">
        <v>1</v>
      </c>
      <c r="L333" s="584"/>
      <c r="M333" s="584"/>
      <c r="N333" s="584"/>
      <c r="O333" s="586"/>
      <c r="P333" s="584"/>
      <c r="Q333" s="588"/>
      <c r="R333" s="590"/>
      <c r="S333" s="592"/>
      <c r="T333" s="581"/>
      <c r="U333" s="582"/>
      <c r="V333" s="102"/>
      <c r="W333" s="115"/>
    </row>
    <row r="334" spans="1:21" ht="51" customHeight="1">
      <c r="A334" s="568"/>
      <c r="B334" s="137">
        <f>G334</f>
        <v>0</v>
      </c>
      <c r="C334" s="137"/>
      <c r="D334" s="137"/>
      <c r="E334" s="138"/>
      <c r="F334" s="138"/>
      <c r="G334" s="139">
        <f>B$1*B359</f>
        <v>0</v>
      </c>
      <c r="H334" s="140">
        <f aca="true" t="shared" si="30" ref="H334:S334">IF(H335&gt;0,1,0)</f>
        <v>0</v>
      </c>
      <c r="I334" s="141">
        <f t="shared" si="30"/>
        <v>0</v>
      </c>
      <c r="J334" s="141">
        <f t="shared" si="30"/>
        <v>0</v>
      </c>
      <c r="K334" s="142">
        <f t="shared" si="30"/>
        <v>0</v>
      </c>
      <c r="L334" s="142">
        <f t="shared" si="30"/>
        <v>0</v>
      </c>
      <c r="M334" s="142">
        <f t="shared" si="30"/>
        <v>0</v>
      </c>
      <c r="N334" s="142">
        <f t="shared" si="30"/>
        <v>0</v>
      </c>
      <c r="O334" s="141">
        <f t="shared" si="30"/>
        <v>0</v>
      </c>
      <c r="P334" s="142">
        <f t="shared" si="30"/>
        <v>0</v>
      </c>
      <c r="Q334" s="142">
        <f t="shared" si="30"/>
        <v>0</v>
      </c>
      <c r="R334" s="143">
        <f t="shared" si="30"/>
        <v>0</v>
      </c>
      <c r="S334" s="144">
        <f t="shared" si="30"/>
        <v>0</v>
      </c>
      <c r="T334" s="593"/>
      <c r="U334" s="594"/>
    </row>
    <row r="335" spans="1:22" ht="49.5" customHeight="1" thickBot="1">
      <c r="A335" s="568"/>
      <c r="B335" s="595" t="s">
        <v>106</v>
      </c>
      <c r="C335" s="595" t="s">
        <v>107</v>
      </c>
      <c r="D335" s="596" t="s">
        <v>108</v>
      </c>
      <c r="E335" s="148" t="s">
        <v>109</v>
      </c>
      <c r="F335" s="149"/>
      <c r="G335" s="597" t="s">
        <v>110</v>
      </c>
      <c r="H335" s="150">
        <f>IF(B334+B338+B345+B347+C344+D338+F335&gt;0,IF(B350&gt;0,B350-(IF(E338+F338+G338+B342+C342+D342+E342+F342&gt;0,ROUND((B350/30)*IF(E338+F338+G338+B342+C342+D342+E342+F342&lt;31,E338+F338+G338+B342+C342+D342+E342+F342,30),2),0)+ROUND(((B350/G334)*(B338+B345+B347+C344+D338)),2)),0),0)+IF(B334&gt;G334,IF(B350&gt;0,(B334-G334)*B352,0),0)+IF(B351&gt;0,B351*B334,0)-IF(IF(B334+B338+B345+B347+C344+D338+F335&gt;0,IF(B350&gt;0,B350-(IF(E338+F338+G338+B342+C342+D342+E342+F342&gt;0,ROUND((B350/30)*IF(E338+F338+G338+B342+C342+D342+E342+F342&lt;31,E338+F338+G338+B342+C342+D342+E342+F342,30),2),0)+ROUND(((B350/G334)*(B338+B345+B347+C344+D338)),2)),0),0)&lt;0,IF(B334+B338+B345+B347+C344+D338+F335&gt;0,IF(B350&gt;0,B350-(IF(E338+F338+G338+B342+C342+D342+E342+F342&gt;0,ROUND((B350/30)*IF(E338+F338+G338+B342+C342+D342+E342+F342&lt;31,E338+F338+G338+B342+C342+D342+E342+F342,30),2),0)+ROUND(((B350/G334)*(B338+B345+B347+C344+D338)),2)),0),0),0)</f>
        <v>0</v>
      </c>
      <c r="I335" s="151">
        <f>ROUND(D334*ROUND(B352*150%,2)+E334*ROUND(B352*200%,2),2)</f>
        <v>0</v>
      </c>
      <c r="J335" s="151">
        <f>ROUND((J333*H335),2)</f>
        <v>0</v>
      </c>
      <c r="K335" s="151"/>
      <c r="L335" s="151">
        <f>IF(C334&gt;0,C334*ROUND(B352*U$3,2),0)+IF(U$3=0,IF(C334&gt;0,C334*ROUND(20%*ROUND(E$1/G334,2),2),0))</f>
        <v>0</v>
      </c>
      <c r="M335" s="151">
        <f>IF(B338&gt;0,ROUND((B338*C347),2),0)</f>
        <v>0</v>
      </c>
      <c r="N335" s="151">
        <f>IF(B334+D334+E334+F334&gt;0,ROUND((((H335+I335+J335+L335+O335)/(B334+D334+E334+F334))*D338),2),B352*D338)</f>
        <v>0</v>
      </c>
      <c r="O335" s="151">
        <f>ROUND((F334*B352),2)</f>
        <v>0</v>
      </c>
      <c r="P335" s="151">
        <f>IF(C338&gt;0,ROUND((D347/($I$1*8*B359)),2)*C338,0)</f>
        <v>0</v>
      </c>
      <c r="Q335" s="151"/>
      <c r="R335" s="152"/>
      <c r="S335" s="153">
        <f>IF(G352&gt;500,G352-500,0)+IF(F352&gt;190,F352-190,0)</f>
        <v>0</v>
      </c>
      <c r="T335" s="593"/>
      <c r="U335" s="594"/>
      <c r="V335" s="154"/>
    </row>
    <row r="336" spans="1:21" ht="57" customHeight="1">
      <c r="A336" s="568"/>
      <c r="B336" s="554"/>
      <c r="C336" s="554"/>
      <c r="D336" s="554"/>
      <c r="E336" s="599" t="s">
        <v>112</v>
      </c>
      <c r="F336" s="599"/>
      <c r="G336" s="598"/>
      <c r="H336" s="600" t="s">
        <v>113</v>
      </c>
      <c r="I336" s="601"/>
      <c r="J336" s="601"/>
      <c r="K336" s="601"/>
      <c r="L336" s="601"/>
      <c r="M336" s="602">
        <f>H341+I341+M337</f>
        <v>0</v>
      </c>
      <c r="N336" s="603"/>
      <c r="O336" s="604" t="s">
        <v>114</v>
      </c>
      <c r="P336" s="604"/>
      <c r="Q336" s="604"/>
      <c r="R336" s="604"/>
      <c r="S336" s="156">
        <f>S337+O341</f>
        <v>0</v>
      </c>
      <c r="T336" s="605"/>
      <c r="U336" s="606"/>
    </row>
    <row r="337" spans="1:21" ht="38.25" customHeight="1">
      <c r="A337" s="568"/>
      <c r="B337" s="157"/>
      <c r="C337" s="131"/>
      <c r="D337" s="131"/>
      <c r="E337" s="158">
        <v>0.8</v>
      </c>
      <c r="F337" s="158">
        <v>1</v>
      </c>
      <c r="G337" s="159">
        <v>0.8</v>
      </c>
      <c r="H337" s="607" t="s">
        <v>115</v>
      </c>
      <c r="I337" s="608"/>
      <c r="J337" s="609" t="s">
        <v>116</v>
      </c>
      <c r="K337" s="610"/>
      <c r="L337" s="610"/>
      <c r="M337" s="611">
        <f>SUM(J341:N341)</f>
        <v>0</v>
      </c>
      <c r="N337" s="612"/>
      <c r="O337" s="160" t="s">
        <v>117</v>
      </c>
      <c r="P337" s="613" t="s">
        <v>118</v>
      </c>
      <c r="Q337" s="614"/>
      <c r="R337" s="615"/>
      <c r="S337" s="161">
        <f>SUM(P341:S341)</f>
        <v>0</v>
      </c>
      <c r="T337" s="616"/>
      <c r="U337" s="617"/>
    </row>
    <row r="338" spans="1:21" ht="40.5" customHeight="1">
      <c r="A338" s="568"/>
      <c r="B338" s="137"/>
      <c r="C338" s="137"/>
      <c r="D338" s="137"/>
      <c r="E338" s="137"/>
      <c r="F338" s="137"/>
      <c r="G338" s="139"/>
      <c r="H338" s="618" t="s">
        <v>119</v>
      </c>
      <c r="I338" s="162"/>
      <c r="J338" s="620" t="s">
        <v>120</v>
      </c>
      <c r="K338" s="595" t="s">
        <v>121</v>
      </c>
      <c r="L338" s="595" t="s">
        <v>122</v>
      </c>
      <c r="M338" s="595" t="s">
        <v>123</v>
      </c>
      <c r="N338" s="163" t="s">
        <v>124</v>
      </c>
      <c r="O338" s="622" t="s">
        <v>125</v>
      </c>
      <c r="P338" s="624" t="s">
        <v>126</v>
      </c>
      <c r="Q338" s="584" t="s">
        <v>127</v>
      </c>
      <c r="R338" s="634" t="s">
        <v>128</v>
      </c>
      <c r="S338" s="633" t="s">
        <v>129</v>
      </c>
      <c r="T338" s="164"/>
      <c r="U338" s="165"/>
    </row>
    <row r="339" spans="1:21" ht="39.75" customHeight="1">
      <c r="A339" s="568"/>
      <c r="B339" s="571" t="s">
        <v>110</v>
      </c>
      <c r="C339" s="571" t="s">
        <v>130</v>
      </c>
      <c r="D339" s="571" t="s">
        <v>131</v>
      </c>
      <c r="E339" s="571" t="s">
        <v>132</v>
      </c>
      <c r="F339" s="571" t="s">
        <v>110</v>
      </c>
      <c r="G339" s="166" t="s">
        <v>133</v>
      </c>
      <c r="H339" s="619"/>
      <c r="I339" s="167"/>
      <c r="J339" s="621"/>
      <c r="K339" s="554"/>
      <c r="L339" s="554"/>
      <c r="M339" s="554"/>
      <c r="N339" s="168" t="s">
        <v>134</v>
      </c>
      <c r="O339" s="623"/>
      <c r="P339" s="624"/>
      <c r="Q339" s="584"/>
      <c r="R339" s="634"/>
      <c r="S339" s="633"/>
      <c r="T339" s="627">
        <f>I351-S352-P351</f>
        <v>0</v>
      </c>
      <c r="U339" s="628"/>
    </row>
    <row r="340" spans="1:21" ht="35.25" customHeight="1">
      <c r="A340" s="568"/>
      <c r="B340" s="572"/>
      <c r="C340" s="572"/>
      <c r="D340" s="572"/>
      <c r="E340" s="572"/>
      <c r="F340" s="572"/>
      <c r="G340" s="139"/>
      <c r="H340" s="169">
        <f aca="true" t="shared" si="31" ref="H340:M340">IF(H341&gt;0,1,0)</f>
        <v>0</v>
      </c>
      <c r="I340" s="170">
        <f t="shared" si="31"/>
        <v>0</v>
      </c>
      <c r="J340" s="171">
        <f t="shared" si="31"/>
        <v>0</v>
      </c>
      <c r="K340" s="172">
        <f t="shared" si="31"/>
        <v>0</v>
      </c>
      <c r="L340" s="173">
        <f t="shared" si="31"/>
        <v>0</v>
      </c>
      <c r="M340" s="173">
        <f t="shared" si="31"/>
        <v>0</v>
      </c>
      <c r="N340" s="174">
        <v>0</v>
      </c>
      <c r="O340" s="175">
        <f>IF(O341&gt;0,1,0)</f>
        <v>0</v>
      </c>
      <c r="P340" s="171">
        <f>IF(P341&gt;0,1,0)</f>
        <v>0</v>
      </c>
      <c r="Q340" s="173">
        <f>IF(Q341&gt;0,1,0)</f>
        <v>0</v>
      </c>
      <c r="R340" s="173">
        <f>IF(R341&gt;0,1,0)</f>
        <v>0</v>
      </c>
      <c r="S340" s="176">
        <f>IF(S341&gt;0,1,0)</f>
        <v>0</v>
      </c>
      <c r="T340" s="627"/>
      <c r="U340" s="628"/>
    </row>
    <row r="341" spans="1:21" ht="36" customHeight="1" thickBot="1">
      <c r="A341" s="568"/>
      <c r="B341" s="177">
        <v>1</v>
      </c>
      <c r="C341" s="177">
        <v>0.8</v>
      </c>
      <c r="D341" s="572"/>
      <c r="E341" s="572"/>
      <c r="F341" s="177">
        <v>0.7</v>
      </c>
      <c r="G341" s="178">
        <v>0</v>
      </c>
      <c r="H341" s="179">
        <f>IF(E338&gt;0,ROUND((C352*E337),2)*E338,0)+IF(F338&gt;0,C352*F338,0)</f>
        <v>0</v>
      </c>
      <c r="I341" s="180"/>
      <c r="J341" s="181">
        <f>IF(G334&gt;0,IF(B334&gt;=G334,E347-((E347/22)*F347),(E347-(ROUND(((E347/22)*(((G334-B334)/8*B359)+F347)),2))))-IF(B334=0,0,0)-IF(B334&lt;=F347*8*B359,E347-ROUND(((E347/22)*(((G334-B334)/8*B359)+F347)),2),0),0)</f>
        <v>0</v>
      </c>
      <c r="K341" s="182">
        <f>G350-R341</f>
        <v>0</v>
      </c>
      <c r="L341" s="182">
        <f>IF(F352&gt;0,IF(F352&lt;190,F352,190),0)</f>
        <v>0</v>
      </c>
      <c r="M341" s="182"/>
      <c r="N341" s="183">
        <f>IF(N340&gt;0,L$3*B359*N340,0)</f>
        <v>0</v>
      </c>
      <c r="O341" s="184">
        <f>IF(C359&lt;=$P$2,IF(G352&gt;0,IF(G352&lt;500,G352,500),0),0)</f>
        <v>0</v>
      </c>
      <c r="P341" s="181">
        <f>IF(G347&gt;0,ROUND(((G347/G334)*B334),2),0)+G346</f>
        <v>0</v>
      </c>
      <c r="Q341" s="182">
        <f>IF(F345&gt;0,ROUND((F345/G334)*B334,2),0)</f>
        <v>0</v>
      </c>
      <c r="R341" s="182">
        <f>IF(G350&gt;0,IF(G350&lt;380,G350,380),0)</f>
        <v>0</v>
      </c>
      <c r="S341" s="185"/>
      <c r="T341" s="627"/>
      <c r="U341" s="628"/>
    </row>
    <row r="342" spans="1:21" ht="60" customHeight="1" thickBot="1" thickTop="1">
      <c r="A342" s="568"/>
      <c r="B342" s="137"/>
      <c r="C342" s="137"/>
      <c r="D342" s="137"/>
      <c r="E342" s="137"/>
      <c r="F342" s="137"/>
      <c r="G342" s="139">
        <f>IF(L330+L343-Q341-P341-K351-J341&gt;$F$1,IF(G341&gt;0,IF(((H351-S352-L357-L351-J341-K341-L341-O354+P359)*(100%-G341))&gt;=(($F$1*B359)-IF(ROUND(((ROUND(($F$1-C359),0.1)*E359)-D359),0.1)&gt;0,ROUND(((ROUND(($F$1-C359),0.1)*E359)-D359),0.1),0)),((H351-S352-L357-L351-J341-K341-L341-O354+P359)*G341)))+IF(G341&gt;0,IF(((H351-S352-L357-L351-J341-K341-L341-O354+P359)*(100%-G341))&lt;(($F$1*B359)-IF(ROUND(((ROUND(($F$1-C359),0.1)*E359)-D359),0.1)&gt;0,ROUND(((ROUND(($F$1-C359),0.1)*E359)-D359),0.1),0)),(H351-S352-L357-L351-J341-K341-L341-O354+P359)-(($F$1*B359)-IF(ROUND(((ROUND(($F$1-C359),0.1)*E359)-D359),0.1)&gt;0,ROUND(((ROUND(($F$1-C359),0.1)*E359)-D359),0.1),0)))),0)</f>
        <v>0</v>
      </c>
      <c r="H342" s="629" t="s">
        <v>135</v>
      </c>
      <c r="I342" s="630"/>
      <c r="J342" s="630"/>
      <c r="K342" s="575">
        <f>L343+P342</f>
        <v>0</v>
      </c>
      <c r="L342" s="576"/>
      <c r="M342" s="631" t="s">
        <v>136</v>
      </c>
      <c r="N342" s="632"/>
      <c r="O342" s="632"/>
      <c r="P342" s="575">
        <f>P343+S343</f>
        <v>0</v>
      </c>
      <c r="Q342" s="575"/>
      <c r="R342" s="186"/>
      <c r="S342" s="186"/>
      <c r="T342" s="187">
        <v>200</v>
      </c>
      <c r="U342" s="188">
        <f>ROUND(((1400/'[1]Li-pł zlec'!$V$1)*'[1]LI-PŁ-prac'!T342),2)+((H341+L343)-ROUND(((H341+L343)*$N$3),2))+O344+P344+P346+R346+S346-O351-L351-M351</f>
        <v>1750</v>
      </c>
    </row>
    <row r="343" spans="1:21" ht="119.25" customHeight="1">
      <c r="A343" s="568"/>
      <c r="B343" s="189" t="s">
        <v>137</v>
      </c>
      <c r="C343" s="190" t="s">
        <v>138</v>
      </c>
      <c r="D343" s="595" t="s">
        <v>139</v>
      </c>
      <c r="E343" s="649" t="s">
        <v>307</v>
      </c>
      <c r="F343" s="191" t="s">
        <v>140</v>
      </c>
      <c r="G343" s="192" t="s">
        <v>141</v>
      </c>
      <c r="H343" s="651" t="s">
        <v>142</v>
      </c>
      <c r="I343" s="652"/>
      <c r="J343" s="652"/>
      <c r="K343" s="652"/>
      <c r="L343" s="193">
        <f>SUM(H346:L346)</f>
        <v>0</v>
      </c>
      <c r="M343" s="625"/>
      <c r="N343" s="626"/>
      <c r="O343" s="626"/>
      <c r="P343" s="193"/>
      <c r="Q343" s="635"/>
      <c r="R343" s="636"/>
      <c r="S343" s="194"/>
      <c r="T343" s="637"/>
      <c r="U343" s="638"/>
    </row>
    <row r="344" spans="1:21" ht="141" customHeight="1" thickBot="1">
      <c r="A344" s="568"/>
      <c r="B344" s="195" t="s">
        <v>143</v>
      </c>
      <c r="C344" s="196"/>
      <c r="D344" s="554"/>
      <c r="E344" s="650"/>
      <c r="F344" s="197">
        <f>IF(F345&gt;0,1,0)</f>
        <v>0</v>
      </c>
      <c r="G344" s="155" t="s">
        <v>308</v>
      </c>
      <c r="H344" s="198" t="s">
        <v>144</v>
      </c>
      <c r="I344" s="199" t="s">
        <v>145</v>
      </c>
      <c r="J344" s="199" t="s">
        <v>146</v>
      </c>
      <c r="K344" s="199" t="s">
        <v>147</v>
      </c>
      <c r="L344" s="200" t="s">
        <v>148</v>
      </c>
      <c r="M344" s="201"/>
      <c r="N344" s="202"/>
      <c r="O344" s="203"/>
      <c r="P344" s="204"/>
      <c r="Q344" s="205"/>
      <c r="R344" s="206"/>
      <c r="S344" s="207"/>
      <c r="T344" s="637"/>
      <c r="U344" s="638"/>
    </row>
    <row r="345" spans="1:21" ht="51.75" customHeight="1">
      <c r="A345" s="568"/>
      <c r="B345" s="208"/>
      <c r="C345" s="595" t="s">
        <v>149</v>
      </c>
      <c r="D345" s="554"/>
      <c r="E345" s="209"/>
      <c r="F345" s="210">
        <f>IF(T331&gt;0,$H$3,0)</f>
        <v>0</v>
      </c>
      <c r="G345" s="211">
        <f>IF(G346+G347&gt;0,1,0)</f>
        <v>0</v>
      </c>
      <c r="H345" s="212">
        <f>IF(H346&gt;0,1,0)</f>
        <v>0</v>
      </c>
      <c r="I345" s="213">
        <f>IF(I346&gt;0,1,0)</f>
        <v>0</v>
      </c>
      <c r="J345" s="213">
        <f>IF(J346&gt;0,1,0)</f>
        <v>0</v>
      </c>
      <c r="K345" s="213">
        <f>IF(K346&gt;0,1,0)</f>
        <v>0</v>
      </c>
      <c r="L345" s="214">
        <f>IF(L346&gt;0,1,0)</f>
        <v>0</v>
      </c>
      <c r="M345" s="639" t="s">
        <v>150</v>
      </c>
      <c r="N345" s="640"/>
      <c r="O345" s="641"/>
      <c r="P345" s="642"/>
      <c r="Q345" s="215"/>
      <c r="R345" s="216"/>
      <c r="S345" s="217"/>
      <c r="T345" s="643"/>
      <c r="U345" s="644"/>
    </row>
    <row r="346" spans="1:21" ht="60.75" customHeight="1" thickBot="1">
      <c r="A346" s="568"/>
      <c r="B346" s="218" t="s">
        <v>151</v>
      </c>
      <c r="C346" s="554"/>
      <c r="D346" s="131"/>
      <c r="E346" s="219">
        <f>IF(E345&gt;0,C$3,0)</f>
        <v>0</v>
      </c>
      <c r="F346" s="220" t="s">
        <v>152</v>
      </c>
      <c r="G346" s="221"/>
      <c r="H346" s="179">
        <f>IF(G338&gt;0,(ROUND((C352*G337),2)*G338),0)+IF(B342&gt;0,(ROUND((C352*B341),2)*B342),0)+IF(F342&gt;0,(ROUND((C352*F341),2)*F342),0)</f>
        <v>0</v>
      </c>
      <c r="I346" s="182">
        <f>IF(E342&gt;0,(ROUND(((D352*D351)/30),2)*E342),0)</f>
        <v>0</v>
      </c>
      <c r="J346" s="182">
        <f>IF(C342&gt;0,(ROUND(C352*C341,2)*C342),0)</f>
        <v>0</v>
      </c>
      <c r="K346" s="182">
        <f>IF(D342&gt;0,(ROUND(C352,2)*D342),0)</f>
        <v>0</v>
      </c>
      <c r="L346" s="222">
        <f>E352</f>
        <v>0</v>
      </c>
      <c r="M346" s="645">
        <f>Q331+M336+L343</f>
        <v>0</v>
      </c>
      <c r="N346" s="646"/>
      <c r="O346" s="202"/>
      <c r="P346" s="223"/>
      <c r="Q346" s="224"/>
      <c r="R346" s="182"/>
      <c r="S346" s="185"/>
      <c r="T346" s="695" t="s">
        <v>153</v>
      </c>
      <c r="U346" s="696"/>
    </row>
    <row r="347" spans="1:21" ht="41.25" customHeight="1" thickTop="1">
      <c r="A347" s="568"/>
      <c r="B347" s="208"/>
      <c r="C347" s="208"/>
      <c r="D347" s="208"/>
      <c r="E347" s="203">
        <f>ROUND((E345*E346),2)</f>
        <v>0</v>
      </c>
      <c r="F347" s="225"/>
      <c r="G347" s="226"/>
      <c r="H347" s="653" t="s">
        <v>309</v>
      </c>
      <c r="I347" s="655" t="s">
        <v>154</v>
      </c>
      <c r="J347" s="657" t="s">
        <v>155</v>
      </c>
      <c r="K347" s="660" t="s">
        <v>156</v>
      </c>
      <c r="L347" s="661" t="s">
        <v>157</v>
      </c>
      <c r="M347" s="661"/>
      <c r="N347" s="661"/>
      <c r="O347" s="662"/>
      <c r="P347" s="663" t="s">
        <v>158</v>
      </c>
      <c r="Q347" s="227" t="s">
        <v>159</v>
      </c>
      <c r="R347" s="228" t="s">
        <v>160</v>
      </c>
      <c r="S347" s="229" t="s">
        <v>161</v>
      </c>
      <c r="T347" s="695" t="s">
        <v>162</v>
      </c>
      <c r="U347" s="696"/>
    </row>
    <row r="348" spans="1:21" ht="92.25" customHeight="1">
      <c r="A348" s="568"/>
      <c r="B348" s="664" t="s">
        <v>163</v>
      </c>
      <c r="C348" s="117" t="s">
        <v>164</v>
      </c>
      <c r="D348" s="337" t="s">
        <v>165</v>
      </c>
      <c r="E348" s="146" t="s">
        <v>166</v>
      </c>
      <c r="F348" s="697" t="s">
        <v>167</v>
      </c>
      <c r="G348" s="191" t="s">
        <v>168</v>
      </c>
      <c r="H348" s="654"/>
      <c r="I348" s="656"/>
      <c r="J348" s="658"/>
      <c r="K348" s="584"/>
      <c r="L348" s="232" t="s">
        <v>169</v>
      </c>
      <c r="M348" s="123" t="s">
        <v>170</v>
      </c>
      <c r="N348" s="136" t="s">
        <v>171</v>
      </c>
      <c r="O348" s="136" t="s">
        <v>172</v>
      </c>
      <c r="P348" s="556"/>
      <c r="Q348" s="233">
        <f>ROUND(IF(S353&gt;$N$4,IF(S353&lt;=$O$4,7866.25+((S353-$N$4)*$O$3)),0)+IF(S353&gt;$O$4,20177.65+((S353-$O$4)*$P$3),0)+IF(S353&lt;=$N$4,IF(S353*E359&gt;0,S353*E359),0),0.1)</f>
        <v>0</v>
      </c>
      <c r="R348" s="234">
        <f>IF(L343&gt;0,ROUND((ROUND((L343),0.1)*E359),0.1),0)</f>
        <v>0</v>
      </c>
      <c r="S348" s="235">
        <f>IF(Q348+R348-D359&gt;=0,Q348+R348-D359,0)+IF(D359-Q348+R348&gt;0&lt;D359+0.001,Q348+R348-D359,0)</f>
        <v>0</v>
      </c>
      <c r="T348" s="695" t="s">
        <v>173</v>
      </c>
      <c r="U348" s="696"/>
    </row>
    <row r="349" spans="1:21" ht="36.75" customHeight="1">
      <c r="A349" s="568"/>
      <c r="B349" s="665"/>
      <c r="C349" s="230"/>
      <c r="D349" s="236"/>
      <c r="E349" s="237"/>
      <c r="F349" s="698"/>
      <c r="G349" s="239" t="s">
        <v>310</v>
      </c>
      <c r="H349" s="654"/>
      <c r="I349" s="656"/>
      <c r="J349" s="658"/>
      <c r="K349" s="584"/>
      <c r="L349" s="123"/>
      <c r="M349" s="240"/>
      <c r="N349" s="241"/>
      <c r="O349" s="136"/>
      <c r="P349" s="556"/>
      <c r="Q349" s="668" t="s">
        <v>174</v>
      </c>
      <c r="R349" s="669"/>
      <c r="S349" s="235">
        <f>ROUND(IF(S348&gt;=L359,S348-L359,0),0.1)</f>
        <v>0</v>
      </c>
      <c r="T349" s="338" t="str">
        <f>L$8</f>
        <v>styczeń</v>
      </c>
      <c r="U349" s="339" t="str">
        <f>N$8</f>
        <v>2011 r.</v>
      </c>
    </row>
    <row r="350" spans="1:21" ht="48" customHeight="1">
      <c r="A350" s="568"/>
      <c r="B350" s="244">
        <f>IF(B351=0,IF(T331&gt;0,IF(T336&gt;0,IF(T336="I kl",O$1)+IF(T336="II kl",P$1)+IF(T336="III kl",Q$1),ROUND((E$1*B359),2)),0),0)</f>
        <v>0</v>
      </c>
      <c r="C350" s="118" t="s">
        <v>175</v>
      </c>
      <c r="D350" s="123" t="s">
        <v>176</v>
      </c>
      <c r="E350" s="245"/>
      <c r="F350" s="698"/>
      <c r="G350" s="139"/>
      <c r="H350" s="246">
        <f>IF(H351&gt;0,1,0)</f>
        <v>0</v>
      </c>
      <c r="I350" s="247">
        <f>IF(I351&gt;0,1,0)</f>
        <v>0</v>
      </c>
      <c r="J350" s="658"/>
      <c r="K350" s="248">
        <f aca="true" t="shared" si="32" ref="K350:P350">IF(K351&gt;0,1,0)</f>
        <v>0</v>
      </c>
      <c r="L350" s="249">
        <f t="shared" si="32"/>
        <v>0</v>
      </c>
      <c r="M350" s="250">
        <f t="shared" si="32"/>
        <v>0</v>
      </c>
      <c r="N350" s="249">
        <f t="shared" si="32"/>
        <v>0</v>
      </c>
      <c r="O350" s="251">
        <f t="shared" si="32"/>
        <v>0</v>
      </c>
      <c r="P350" s="252">
        <f t="shared" si="32"/>
        <v>0</v>
      </c>
      <c r="Q350" s="670" t="s">
        <v>177</v>
      </c>
      <c r="R350" s="253" t="s">
        <v>178</v>
      </c>
      <c r="S350" s="235">
        <v>0</v>
      </c>
      <c r="T350" s="647" t="s">
        <v>179</v>
      </c>
      <c r="U350" s="648"/>
    </row>
    <row r="351" spans="1:21" ht="57.75" customHeight="1" thickBot="1">
      <c r="A351" s="568"/>
      <c r="B351" s="254"/>
      <c r="C351" s="230"/>
      <c r="D351" s="177">
        <v>0.9</v>
      </c>
      <c r="E351" s="255">
        <f>IF(E349&gt;0,$U$1-E350,0)</f>
        <v>0</v>
      </c>
      <c r="F351" s="238">
        <f>IF(F352&gt;0,1,0)</f>
        <v>0</v>
      </c>
      <c r="G351" s="256" t="s">
        <v>180</v>
      </c>
      <c r="H351" s="257">
        <f>P330+L343-P359</f>
        <v>0</v>
      </c>
      <c r="I351" s="233">
        <f>L330+K342</f>
        <v>0</v>
      </c>
      <c r="J351" s="659"/>
      <c r="K351" s="244">
        <f>S335+K341+L341+O341+R341+O354+L357-N351</f>
        <v>0</v>
      </c>
      <c r="L351" s="244"/>
      <c r="M351" s="244">
        <f>G340+IF(G342&gt;0,G342,0)</f>
        <v>0</v>
      </c>
      <c r="N351" s="244">
        <f>L357-L359</f>
        <v>0</v>
      </c>
      <c r="O351" s="244"/>
      <c r="P351" s="258">
        <f>SUM(K351:O351)</f>
        <v>0</v>
      </c>
      <c r="Q351" s="671"/>
      <c r="R351" s="259" t="s">
        <v>181</v>
      </c>
      <c r="S351" s="235">
        <v>0</v>
      </c>
      <c r="T351" s="647" t="s">
        <v>182</v>
      </c>
      <c r="U351" s="648"/>
    </row>
    <row r="352" spans="1:21" ht="45.75" customHeight="1" thickBot="1" thickTop="1">
      <c r="A352" s="569"/>
      <c r="B352" s="244">
        <f>IF(B351=0,ROUND(IF(B350&gt;0,CEILING((B350/G334),0.01),B351),2),B351)</f>
        <v>0</v>
      </c>
      <c r="C352" s="244">
        <f>IF(T331&gt;0,(IF(C349&gt;0,ROUND(((C349-(C349*(B355+C355+D355)))/30),2),0)+IF(C351&gt;0,ROUND((C351/30),2),0))+(IF(IF(C349&gt;0,ROUND(((C349-(C349*(B355+C355+D355)))/30),2),0)+IF(C351&gt;0,ROUND((C351/30),2),0)&lt;ROUND((($F$1*B359)/30),2),(IF(C349+C351&gt;0,ROUND((($F$1*B359)/30),2)-(IF(C349&gt;0,ROUND(((C349-(C349*(B355+C355+D355)))/30),2),0)+IF(C351&gt;0,ROUND((C351/30),2),0)))),0)),0)</f>
        <v>0</v>
      </c>
      <c r="D352" s="244"/>
      <c r="E352" s="244">
        <f>IF(E351&gt;0,IF(ROUND(E349-((E349/30)*E350),2)-H354+O354&gt;0,ROUND(E349-((E349/30)*E350),2)-H354+O354,0),0)</f>
        <v>0</v>
      </c>
      <c r="F352" s="137"/>
      <c r="G352" s="139"/>
      <c r="H352" s="672" t="s">
        <v>183</v>
      </c>
      <c r="I352" s="673"/>
      <c r="J352" s="673"/>
      <c r="K352" s="673"/>
      <c r="L352" s="673"/>
      <c r="M352" s="674" t="s">
        <v>184</v>
      </c>
      <c r="N352" s="675"/>
      <c r="O352" s="260" t="s">
        <v>185</v>
      </c>
      <c r="P352" s="261" t="s">
        <v>186</v>
      </c>
      <c r="Q352" s="676" t="s">
        <v>187</v>
      </c>
      <c r="R352" s="677"/>
      <c r="S352" s="262">
        <f>ROUND((IF(S349-S350&gt;=0,S349-S350,0)+S351),0.1)</f>
        <v>0</v>
      </c>
      <c r="T352" s="263" t="str">
        <f>L$8</f>
        <v>styczeń</v>
      </c>
      <c r="U352" s="264" t="str">
        <f>N$8</f>
        <v>2011 r.</v>
      </c>
    </row>
    <row r="353" spans="1:21" ht="69.75" customHeight="1" thickBot="1" thickTop="1">
      <c r="A353" s="568"/>
      <c r="B353" s="699" t="s">
        <v>188</v>
      </c>
      <c r="C353" s="700"/>
      <c r="D353" s="700"/>
      <c r="E353" s="701"/>
      <c r="F353" s="265" t="s">
        <v>189</v>
      </c>
      <c r="G353" s="266" t="s">
        <v>190</v>
      </c>
      <c r="H353" s="267" t="s">
        <v>191</v>
      </c>
      <c r="I353" s="268" t="s">
        <v>192</v>
      </c>
      <c r="J353" s="269" t="s">
        <v>193</v>
      </c>
      <c r="K353" s="238" t="s">
        <v>194</v>
      </c>
      <c r="L353" s="270" t="s">
        <v>195</v>
      </c>
      <c r="M353" s="198" t="s">
        <v>196</v>
      </c>
      <c r="N353" s="271" t="s">
        <v>197</v>
      </c>
      <c r="O353" s="294" t="s">
        <v>198</v>
      </c>
      <c r="P353" s="273" t="s">
        <v>199</v>
      </c>
      <c r="Q353" s="340" t="s">
        <v>200</v>
      </c>
      <c r="R353" s="275" t="s">
        <v>201</v>
      </c>
      <c r="S353" s="276">
        <f>IF(ROUND((P330-P359-C359),0.1)&gt;0,ROUND((P330-P359-C359),0.1),0)</f>
        <v>0</v>
      </c>
      <c r="T353" s="277"/>
      <c r="U353" s="278"/>
    </row>
    <row r="354" spans="1:21" ht="81" customHeight="1" thickTop="1">
      <c r="A354" s="568"/>
      <c r="B354" s="279" t="s">
        <v>202</v>
      </c>
      <c r="C354" s="279" t="s">
        <v>203</v>
      </c>
      <c r="D354" s="279" t="s">
        <v>204</v>
      </c>
      <c r="E354" s="279" t="s">
        <v>205</v>
      </c>
      <c r="F354" s="279" t="s">
        <v>206</v>
      </c>
      <c r="G354" s="280">
        <f>ROUND((H354*G356),2)</f>
        <v>0</v>
      </c>
      <c r="H354" s="281">
        <f>Q331+O341</f>
        <v>0</v>
      </c>
      <c r="I354" s="282">
        <f>Q331+O341</f>
        <v>0</v>
      </c>
      <c r="J354" s="282">
        <f>Q331+O341</f>
        <v>0</v>
      </c>
      <c r="K354" s="282">
        <f>Q331+O341</f>
        <v>0</v>
      </c>
      <c r="L354" s="283">
        <f>Q331+H341+I341-O354+O341</f>
        <v>0</v>
      </c>
      <c r="M354" s="284">
        <f>IF(D349&gt;0,IF(D349&lt;$U$1,ROUND((($E$1/$U$1)*D349),2),$E$1))+IF(K346&gt;0,K346,0)</f>
        <v>0</v>
      </c>
      <c r="N354" s="285">
        <f>M354</f>
        <v>0</v>
      </c>
      <c r="O354" s="286">
        <f>SUM(H357:J357)</f>
        <v>0</v>
      </c>
      <c r="P354" s="287">
        <f>IF(P355&gt;0,1,0)</f>
        <v>0</v>
      </c>
      <c r="Q354" s="288">
        <f>ROUND((H354-O341-P359+H341+I341)*$R$3,2)</f>
        <v>0</v>
      </c>
      <c r="R354" s="681" t="s">
        <v>207</v>
      </c>
      <c r="S354" s="683" t="s">
        <v>311</v>
      </c>
      <c r="T354" s="289"/>
      <c r="U354" s="278"/>
    </row>
    <row r="355" spans="1:21" ht="38.25" customHeight="1">
      <c r="A355" s="568"/>
      <c r="B355" s="158">
        <f>IF(H354&gt;0,B$2,0)</f>
        <v>0</v>
      </c>
      <c r="C355" s="158">
        <f>IF(I354&gt;0,H$4,0)</f>
        <v>0</v>
      </c>
      <c r="D355" s="158">
        <f>IF(J354&gt;0,F$2,0)</f>
        <v>0</v>
      </c>
      <c r="E355" s="158" t="s">
        <v>208</v>
      </c>
      <c r="F355" s="290" t="s">
        <v>209</v>
      </c>
      <c r="G355" s="291">
        <v>0</v>
      </c>
      <c r="H355" s="685" t="s">
        <v>210</v>
      </c>
      <c r="I355" s="686"/>
      <c r="J355" s="686"/>
      <c r="K355" s="686"/>
      <c r="L355" s="686"/>
      <c r="M355" s="292" t="s">
        <v>211</v>
      </c>
      <c r="N355" s="293" t="s">
        <v>212</v>
      </c>
      <c r="O355" s="294" t="s">
        <v>213</v>
      </c>
      <c r="P355" s="52">
        <f>IF(I354&lt;$E$1,IF(B359=1,IF(T336=0,ROUND((I354*$L$2),2),0),0),ROUND((I354*$L$2),2))</f>
        <v>0</v>
      </c>
      <c r="Q355" s="295" t="s">
        <v>214</v>
      </c>
      <c r="R355" s="682"/>
      <c r="S355" s="684"/>
      <c r="T355" s="289"/>
      <c r="U355" s="278"/>
    </row>
    <row r="356" spans="1:21" ht="42.75" customHeight="1" thickBot="1">
      <c r="A356" s="568"/>
      <c r="B356" s="158">
        <f>IF(H354&gt;0,B$2,0)</f>
        <v>0</v>
      </c>
      <c r="C356" s="158">
        <f>IF(I354&gt;0,D$2,0)</f>
        <v>0</v>
      </c>
      <c r="D356" s="158" t="s">
        <v>208</v>
      </c>
      <c r="E356" s="158">
        <f>IF(K354&gt;0,H$2,0)</f>
        <v>0</v>
      </c>
      <c r="F356" s="158">
        <f>IF(L354&gt;0,J$2,0)</f>
        <v>0</v>
      </c>
      <c r="G356" s="158">
        <f>IF(G355&gt;0,L$1,0)</f>
        <v>0</v>
      </c>
      <c r="H356" s="296" t="s">
        <v>215</v>
      </c>
      <c r="I356" s="297" t="s">
        <v>215</v>
      </c>
      <c r="J356" s="297" t="s">
        <v>215</v>
      </c>
      <c r="K356" s="298" t="s">
        <v>209</v>
      </c>
      <c r="L356" s="299" t="s">
        <v>215</v>
      </c>
      <c r="M356" s="300">
        <f>ROUND(M354*(B$2+B$2),2)</f>
        <v>0</v>
      </c>
      <c r="N356" s="301">
        <f>ROUND(N354*(D$2+H$4),2)</f>
        <v>0</v>
      </c>
      <c r="O356" s="302">
        <f>H359+I359+K359+G354</f>
        <v>0</v>
      </c>
      <c r="P356" s="303" t="s">
        <v>216</v>
      </c>
      <c r="Q356" s="304">
        <f>ROUND((L354*J$2),2)</f>
        <v>0</v>
      </c>
      <c r="R356" s="305" t="s">
        <v>217</v>
      </c>
      <c r="S356" s="684"/>
      <c r="T356" s="289"/>
      <c r="U356" s="278"/>
    </row>
    <row r="357" spans="1:21" ht="53.25" customHeight="1" thickBot="1" thickTop="1">
      <c r="A357" s="568"/>
      <c r="B357" s="141">
        <f>IF(B355+B356&gt;0,1,0)</f>
        <v>0</v>
      </c>
      <c r="C357" s="141">
        <f>IF(C355+C356&gt;0,1,0)</f>
        <v>0</v>
      </c>
      <c r="D357" s="141">
        <f>IF(D355&gt;0,1,0)</f>
        <v>0</v>
      </c>
      <c r="E357" s="141">
        <f>IF(E356&gt;0,1,0)</f>
        <v>0</v>
      </c>
      <c r="F357" s="141">
        <f>IF(F356&gt;0,1,0)</f>
        <v>0</v>
      </c>
      <c r="G357" s="141">
        <f>IF(G356&gt;0,1,0)</f>
        <v>0</v>
      </c>
      <c r="H357" s="306">
        <f>ROUND(H354*B355,2)</f>
        <v>0</v>
      </c>
      <c r="I357" s="307">
        <f>ROUND(I354*C355,2)</f>
        <v>0</v>
      </c>
      <c r="J357" s="307">
        <f>ROUND(J354*D355,2)</f>
        <v>0</v>
      </c>
      <c r="K357" s="244" t="s">
        <v>209</v>
      </c>
      <c r="L357" s="307">
        <f>IF(S348&gt;=ROUND(L354*F356,2),ROUND(L354*F356,2),S348)</f>
        <v>0</v>
      </c>
      <c r="M357" s="687" t="s">
        <v>218</v>
      </c>
      <c r="N357" s="688"/>
      <c r="O357" s="689" t="s">
        <v>219</v>
      </c>
      <c r="P357" s="308">
        <f>IF(P358&gt;0,1,0)</f>
        <v>0</v>
      </c>
      <c r="Q357" s="309" t="s">
        <v>220</v>
      </c>
      <c r="R357" s="310">
        <f>IF(B334=G334,H335+I335+J335+L335+O335+R335+IF(K335&gt;0,ROUND((K335/K333),2),0),0)+IF(B334&lt;G334,IF(B334&gt;0,ROUND((((H335+J335)/B334)*(G334-B347)),2)+IF(K335&gt;0,ROUND((K335/K333),2),0)+I335+L335+O335+R335,0),0)</f>
        <v>0</v>
      </c>
      <c r="S357" s="235">
        <f>IF(S349-S350&lt;0,S350-S349,0)</f>
        <v>0</v>
      </c>
      <c r="T357" s="289"/>
      <c r="U357" s="278"/>
    </row>
    <row r="358" spans="1:22" ht="63" customHeight="1" thickBot="1" thickTop="1">
      <c r="A358" s="568"/>
      <c r="B358" s="311" t="s">
        <v>221</v>
      </c>
      <c r="C358" s="311" t="s">
        <v>222</v>
      </c>
      <c r="D358" s="311" t="s">
        <v>34</v>
      </c>
      <c r="E358" s="146" t="s">
        <v>223</v>
      </c>
      <c r="F358" s="312" t="s">
        <v>224</v>
      </c>
      <c r="G358" s="139">
        <f>IF(Q354&gt;Q348,Q354-Q348,0)</f>
        <v>0</v>
      </c>
      <c r="H358" s="313" t="s">
        <v>225</v>
      </c>
      <c r="I358" s="314" t="s">
        <v>225</v>
      </c>
      <c r="J358" s="298" t="s">
        <v>209</v>
      </c>
      <c r="K358" s="315" t="s">
        <v>225</v>
      </c>
      <c r="L358" s="316" t="s">
        <v>226</v>
      </c>
      <c r="M358" s="317" t="s">
        <v>227</v>
      </c>
      <c r="N358" s="318" t="s">
        <v>228</v>
      </c>
      <c r="O358" s="690"/>
      <c r="P358" s="319">
        <f>ROUND(N$2*H354,2)</f>
        <v>0</v>
      </c>
      <c r="Q358" s="320">
        <f>IF(D349&gt;0,$U$2,0)</f>
        <v>0</v>
      </c>
      <c r="R358" s="321" t="s">
        <v>229</v>
      </c>
      <c r="S358" s="322" t="s">
        <v>230</v>
      </c>
      <c r="T358" s="691" t="s">
        <v>231</v>
      </c>
      <c r="U358" s="702"/>
      <c r="V358" s="323">
        <f>IF(ISBLANK(AM330),0,IF(IF(AF345&gt;=AI$2,AI$2,AF345)&gt;0,IF(AF345&gt;=AI$2,AI$2,AF345),0))</f>
        <v>0</v>
      </c>
    </row>
    <row r="359" spans="1:22" ht="42" customHeight="1" thickBot="1" thickTop="1">
      <c r="A359" s="570"/>
      <c r="B359" s="324">
        <f>IF(ISBLANK(T331),0,1)</f>
        <v>0</v>
      </c>
      <c r="C359" s="324">
        <f>IF(ISBLANK(T331),0,IF(IF(M346&gt;=P$2,P$2,M346)&gt;0,IF(M346&gt;=P$2,P$2,M346),0))</f>
        <v>0</v>
      </c>
      <c r="D359" s="324">
        <f>IF(ISBLANK(T331),0,S$1)</f>
        <v>0</v>
      </c>
      <c r="E359" s="325">
        <f>IF(G334&gt;0,$N$3,0)</f>
        <v>0</v>
      </c>
      <c r="F359" s="326">
        <f>O354+O356+P355+P358+L357+S352</f>
        <v>0</v>
      </c>
      <c r="G359" s="327">
        <f>IF(G358&gt;0,1,0)</f>
        <v>0</v>
      </c>
      <c r="H359" s="328">
        <f>ROUND(H354*B355,2)</f>
        <v>0</v>
      </c>
      <c r="I359" s="329">
        <f>ROUND(I354*C356,2)</f>
        <v>0</v>
      </c>
      <c r="J359" s="182" t="s">
        <v>209</v>
      </c>
      <c r="K359" s="330">
        <f>ROUND(K354*E356,2)</f>
        <v>0</v>
      </c>
      <c r="L359" s="185">
        <f>IF(S348&gt;=ROUND((H354-O341-P359+H341+I341)*$R$3,2),ROUND((H354-O341-P359+H341+I341)*$R$3,2),S348)</f>
        <v>0</v>
      </c>
      <c r="M359" s="179">
        <f>O354+O356</f>
        <v>0</v>
      </c>
      <c r="N359" s="331">
        <f>M359+L357</f>
        <v>0</v>
      </c>
      <c r="O359" s="332">
        <f>SUM(M356:N356)</f>
        <v>0</v>
      </c>
      <c r="P359" s="333">
        <f>ROUND(Q331*B355,2)+ROUND(Q331*C355,2)+ROUND(Q331*D355,2)</f>
        <v>0</v>
      </c>
      <c r="Q359" s="334">
        <f>IF(D349&gt;0,ROUND(($U$2*J$2),2),0)</f>
        <v>0</v>
      </c>
      <c r="R359" s="335">
        <f>IF(B334&gt;=G334/2,IF(B334=G334,H335+I335+J335+L335+O335+P335+R335+IF(K335&gt;0,ROUND((K335/K333),2),0),ROUND((((H335+J335+L335)/B334)*(G334-B347)),2)+IF(K335&gt;0,ROUND((K335/K333),2),0)+I335+O335+P335+R335),0)</f>
        <v>0</v>
      </c>
      <c r="S359" s="336">
        <f>IF(P330-O354-S352-L357&gt;0,P330-O354-S352-L357,0)</f>
        <v>0</v>
      </c>
      <c r="T359" s="693" t="s">
        <v>232</v>
      </c>
      <c r="U359" s="703"/>
      <c r="V359" s="323">
        <f>IF(ISBLANK(AM331),0,IF(IF(AF346&gt;=AJ$2,AJ$2,AF346)&gt;0,IF(AF346&gt;=AJ$2,AJ$2,AF346),0))</f>
        <v>0</v>
      </c>
    </row>
    <row r="360" ht="24" customHeight="1" thickTop="1"/>
    <row r="361" spans="1:23" ht="33" customHeight="1" thickBot="1">
      <c r="A361" s="111" t="s">
        <v>72</v>
      </c>
      <c r="B361" s="112" t="s">
        <v>73</v>
      </c>
      <c r="C361" s="113"/>
      <c r="D361" s="113"/>
      <c r="E361" s="114"/>
      <c r="F361" s="553" t="s">
        <v>74</v>
      </c>
      <c r="G361" s="555" t="s">
        <v>75</v>
      </c>
      <c r="H361" s="557" t="s">
        <v>76</v>
      </c>
      <c r="I361" s="557"/>
      <c r="J361" s="558"/>
      <c r="K361" s="559"/>
      <c r="L361" s="560"/>
      <c r="M361" s="560"/>
      <c r="N361" s="560"/>
      <c r="O361" s="561"/>
      <c r="P361" s="559"/>
      <c r="Q361" s="560"/>
      <c r="R361" s="560"/>
      <c r="S361" s="560"/>
      <c r="T361" s="565" t="s">
        <v>77</v>
      </c>
      <c r="U361" s="566"/>
      <c r="V361" s="102"/>
      <c r="W361" s="115"/>
    </row>
    <row r="362" spans="1:23" ht="44.25" customHeight="1" thickBot="1" thickTop="1">
      <c r="A362" s="567">
        <f>A330+1</f>
        <v>12</v>
      </c>
      <c r="B362" s="571" t="s">
        <v>79</v>
      </c>
      <c r="C362" s="571" t="s">
        <v>80</v>
      </c>
      <c r="D362" s="573" t="s">
        <v>81</v>
      </c>
      <c r="E362" s="573"/>
      <c r="F362" s="554"/>
      <c r="G362" s="556"/>
      <c r="H362" s="574" t="s">
        <v>82</v>
      </c>
      <c r="I362" s="574"/>
      <c r="J362" s="574"/>
      <c r="K362" s="574"/>
      <c r="L362" s="575">
        <f>P362+S368</f>
        <v>0</v>
      </c>
      <c r="M362" s="576"/>
      <c r="N362" s="577" t="s">
        <v>83</v>
      </c>
      <c r="O362" s="578"/>
      <c r="P362" s="575">
        <f>Q363+M368</f>
        <v>0</v>
      </c>
      <c r="Q362" s="576"/>
      <c r="R362" s="119"/>
      <c r="S362" s="120"/>
      <c r="T362" s="121"/>
      <c r="U362" s="122"/>
      <c r="V362" s="102"/>
      <c r="W362" s="115"/>
    </row>
    <row r="363" spans="1:23" ht="36.75" customHeight="1">
      <c r="A363" s="568"/>
      <c r="B363" s="572"/>
      <c r="C363" s="572"/>
      <c r="D363" s="124" t="s">
        <v>85</v>
      </c>
      <c r="E363" s="124" t="s">
        <v>86</v>
      </c>
      <c r="F363" s="554"/>
      <c r="G363" s="556"/>
      <c r="H363" s="562" t="s">
        <v>87</v>
      </c>
      <c r="I363" s="563"/>
      <c r="J363" s="563"/>
      <c r="K363" s="563"/>
      <c r="L363" s="563"/>
      <c r="M363" s="563"/>
      <c r="N363" s="563"/>
      <c r="O363" s="563"/>
      <c r="P363" s="564"/>
      <c r="Q363" s="579">
        <f>SUM(H367:S367)</f>
        <v>0</v>
      </c>
      <c r="R363" s="580"/>
      <c r="S363" s="125"/>
      <c r="T363" s="581"/>
      <c r="U363" s="582"/>
      <c r="V363" s="102"/>
      <c r="W363" s="115"/>
    </row>
    <row r="364" spans="1:23" ht="38.25" customHeight="1">
      <c r="A364" s="568"/>
      <c r="B364" s="572"/>
      <c r="C364" s="126"/>
      <c r="D364" s="124" t="s">
        <v>89</v>
      </c>
      <c r="E364" s="124" t="s">
        <v>89</v>
      </c>
      <c r="F364" s="554"/>
      <c r="G364" s="127"/>
      <c r="H364" s="128" t="s">
        <v>90</v>
      </c>
      <c r="I364" s="129" t="s">
        <v>91</v>
      </c>
      <c r="J364" s="129" t="s">
        <v>92</v>
      </c>
      <c r="K364" s="130" t="s">
        <v>93</v>
      </c>
      <c r="L364" s="583" t="s">
        <v>94</v>
      </c>
      <c r="M364" s="583" t="s">
        <v>95</v>
      </c>
      <c r="N364" s="583" t="s">
        <v>96</v>
      </c>
      <c r="O364" s="585" t="s">
        <v>97</v>
      </c>
      <c r="P364" s="583" t="s">
        <v>98</v>
      </c>
      <c r="Q364" s="587" t="s">
        <v>99</v>
      </c>
      <c r="R364" s="589" t="s">
        <v>100</v>
      </c>
      <c r="S364" s="591" t="s">
        <v>101</v>
      </c>
      <c r="T364" s="581"/>
      <c r="U364" s="582"/>
      <c r="V364" s="102"/>
      <c r="W364" s="115"/>
    </row>
    <row r="365" spans="1:23" ht="30" customHeight="1">
      <c r="A365" s="568"/>
      <c r="B365" s="572"/>
      <c r="C365" s="131"/>
      <c r="D365" s="131"/>
      <c r="E365" s="131"/>
      <c r="F365" s="554"/>
      <c r="G365" s="127"/>
      <c r="H365" s="132" t="s">
        <v>103</v>
      </c>
      <c r="I365" s="133" t="s">
        <v>104</v>
      </c>
      <c r="J365" s="134">
        <v>0</v>
      </c>
      <c r="K365" s="135">
        <v>1</v>
      </c>
      <c r="L365" s="584"/>
      <c r="M365" s="584"/>
      <c r="N365" s="584"/>
      <c r="O365" s="586"/>
      <c r="P365" s="584"/>
      <c r="Q365" s="588"/>
      <c r="R365" s="590"/>
      <c r="S365" s="592"/>
      <c r="T365" s="581"/>
      <c r="U365" s="582"/>
      <c r="V365" s="102"/>
      <c r="W365" s="115"/>
    </row>
    <row r="366" spans="1:21" ht="51" customHeight="1">
      <c r="A366" s="568"/>
      <c r="B366" s="137">
        <f>G366</f>
        <v>0</v>
      </c>
      <c r="C366" s="137"/>
      <c r="D366" s="137"/>
      <c r="E366" s="138"/>
      <c r="F366" s="138"/>
      <c r="G366" s="139">
        <f>B$1*B391</f>
        <v>0</v>
      </c>
      <c r="H366" s="140">
        <f aca="true" t="shared" si="33" ref="H366:S366">IF(H367&gt;0,1,0)</f>
        <v>0</v>
      </c>
      <c r="I366" s="141">
        <f t="shared" si="33"/>
        <v>0</v>
      </c>
      <c r="J366" s="141">
        <f t="shared" si="33"/>
        <v>0</v>
      </c>
      <c r="K366" s="142">
        <f t="shared" si="33"/>
        <v>0</v>
      </c>
      <c r="L366" s="142">
        <f t="shared" si="33"/>
        <v>0</v>
      </c>
      <c r="M366" s="142">
        <f t="shared" si="33"/>
        <v>0</v>
      </c>
      <c r="N366" s="142">
        <f t="shared" si="33"/>
        <v>0</v>
      </c>
      <c r="O366" s="141">
        <f t="shared" si="33"/>
        <v>0</v>
      </c>
      <c r="P366" s="142">
        <f t="shared" si="33"/>
        <v>0</v>
      </c>
      <c r="Q366" s="142">
        <f t="shared" si="33"/>
        <v>0</v>
      </c>
      <c r="R366" s="143">
        <f t="shared" si="33"/>
        <v>0</v>
      </c>
      <c r="S366" s="144">
        <f t="shared" si="33"/>
        <v>0</v>
      </c>
      <c r="T366" s="593"/>
      <c r="U366" s="594"/>
    </row>
    <row r="367" spans="1:22" ht="49.5" customHeight="1" thickBot="1">
      <c r="A367" s="568"/>
      <c r="B367" s="595" t="s">
        <v>106</v>
      </c>
      <c r="C367" s="595" t="s">
        <v>107</v>
      </c>
      <c r="D367" s="596" t="s">
        <v>108</v>
      </c>
      <c r="E367" s="148" t="s">
        <v>109</v>
      </c>
      <c r="F367" s="149"/>
      <c r="G367" s="597" t="s">
        <v>110</v>
      </c>
      <c r="H367" s="150">
        <f>IF(B366+B370+B377+B379+C376+D370+F367&gt;0,IF(B382&gt;0,B382-(IF(E370+F370+G370+B374+C374+D374+E374+F374&gt;0,ROUND((B382/30)*IF(E370+F370+G370+B374+C374+D374+E374+F374&lt;31,E370+F370+G370+B374+C374+D374+E374+F374,30),2),0)+ROUND(((B382/G366)*(B370+B377+B379+C376+D370)),2)),0),0)+IF(B366&gt;G366,IF(B382&gt;0,(B366-G366)*B384,0),0)+IF(B383&gt;0,B383*B366,0)-IF(IF(B366+B370+B377+B379+C376+D370+F367&gt;0,IF(B382&gt;0,B382-(IF(E370+F370+G370+B374+C374+D374+E374+F374&gt;0,ROUND((B382/30)*IF(E370+F370+G370+B374+C374+D374+E374+F374&lt;31,E370+F370+G370+B374+C374+D374+E374+F374,30),2),0)+ROUND(((B382/G366)*(B370+B377+B379+C376+D370)),2)),0),0)&lt;0,IF(B366+B370+B377+B379+C376+D370+F367&gt;0,IF(B382&gt;0,B382-(IF(E370+F370+G370+B374+C374+D374+E374+F374&gt;0,ROUND((B382/30)*IF(E370+F370+G370+B374+C374+D374+E374+F374&lt;31,E370+F370+G370+B374+C374+D374+E374+F374,30),2),0)+ROUND(((B382/G366)*(B370+B377+B379+C376+D370)),2)),0),0),0)</f>
        <v>0</v>
      </c>
      <c r="I367" s="151">
        <f>ROUND(D366*ROUND(B384*150%,2)+E366*ROUND(B384*200%,2),2)</f>
        <v>0</v>
      </c>
      <c r="J367" s="151">
        <f>ROUND((J365*H367),2)</f>
        <v>0</v>
      </c>
      <c r="K367" s="151"/>
      <c r="L367" s="151">
        <f>IF(C366&gt;0,C366*ROUND(B384*U$3,2),0)+IF(U$3=0,IF(C366&gt;0,C366*ROUND(20%*ROUND(E$1/G366,2),2),0))</f>
        <v>0</v>
      </c>
      <c r="M367" s="151">
        <f>IF(B370&gt;0,ROUND((B370*C379),2),0)</f>
        <v>0</v>
      </c>
      <c r="N367" s="151">
        <f>IF(B366+D366+E366+F366&gt;0,ROUND((((H367+I367+J367+L367+O367)/(B366+D366+E366+F366))*D370),2),B384*D370)</f>
        <v>0</v>
      </c>
      <c r="O367" s="151">
        <f>ROUND((F366*B384),2)</f>
        <v>0</v>
      </c>
      <c r="P367" s="151">
        <f>IF(C370&gt;0,ROUND((D379/($I$1*8*B391)),2)*C370,0)</f>
        <v>0</v>
      </c>
      <c r="Q367" s="151"/>
      <c r="R367" s="152"/>
      <c r="S367" s="153">
        <f>IF(G384&gt;500,G384-500,0)+IF(F384&gt;190,F384-190,0)</f>
        <v>0</v>
      </c>
      <c r="T367" s="593"/>
      <c r="U367" s="594"/>
      <c r="V367" s="154"/>
    </row>
    <row r="368" spans="1:21" ht="57" customHeight="1">
      <c r="A368" s="568"/>
      <c r="B368" s="554"/>
      <c r="C368" s="554"/>
      <c r="D368" s="554"/>
      <c r="E368" s="599" t="s">
        <v>112</v>
      </c>
      <c r="F368" s="599"/>
      <c r="G368" s="598"/>
      <c r="H368" s="600" t="s">
        <v>113</v>
      </c>
      <c r="I368" s="601"/>
      <c r="J368" s="601"/>
      <c r="K368" s="601"/>
      <c r="L368" s="601"/>
      <c r="M368" s="602">
        <f>H373+I373+M369</f>
        <v>0</v>
      </c>
      <c r="N368" s="603"/>
      <c r="O368" s="604" t="s">
        <v>114</v>
      </c>
      <c r="P368" s="604"/>
      <c r="Q368" s="604"/>
      <c r="R368" s="604"/>
      <c r="S368" s="156">
        <f>S369+O373</f>
        <v>0</v>
      </c>
      <c r="T368" s="605"/>
      <c r="U368" s="606"/>
    </row>
    <row r="369" spans="1:21" ht="38.25" customHeight="1">
      <c r="A369" s="568"/>
      <c r="B369" s="157"/>
      <c r="C369" s="131"/>
      <c r="D369" s="131"/>
      <c r="E369" s="158">
        <v>0.8</v>
      </c>
      <c r="F369" s="158">
        <v>1</v>
      </c>
      <c r="G369" s="159">
        <v>0.8</v>
      </c>
      <c r="H369" s="607" t="s">
        <v>115</v>
      </c>
      <c r="I369" s="608"/>
      <c r="J369" s="609" t="s">
        <v>116</v>
      </c>
      <c r="K369" s="610"/>
      <c r="L369" s="610"/>
      <c r="M369" s="611">
        <f>SUM(J373:N373)</f>
        <v>0</v>
      </c>
      <c r="N369" s="612"/>
      <c r="O369" s="160" t="s">
        <v>117</v>
      </c>
      <c r="P369" s="613" t="s">
        <v>118</v>
      </c>
      <c r="Q369" s="614"/>
      <c r="R369" s="615"/>
      <c r="S369" s="161">
        <f>SUM(P373:S373)</f>
        <v>0</v>
      </c>
      <c r="T369" s="616"/>
      <c r="U369" s="617"/>
    </row>
    <row r="370" spans="1:21" ht="40.5" customHeight="1">
      <c r="A370" s="568"/>
      <c r="B370" s="137"/>
      <c r="C370" s="137"/>
      <c r="D370" s="137"/>
      <c r="E370" s="137"/>
      <c r="F370" s="137"/>
      <c r="G370" s="139"/>
      <c r="H370" s="618" t="s">
        <v>119</v>
      </c>
      <c r="I370" s="162"/>
      <c r="J370" s="620" t="s">
        <v>120</v>
      </c>
      <c r="K370" s="595" t="s">
        <v>121</v>
      </c>
      <c r="L370" s="595" t="s">
        <v>122</v>
      </c>
      <c r="M370" s="595" t="s">
        <v>123</v>
      </c>
      <c r="N370" s="163" t="s">
        <v>124</v>
      </c>
      <c r="O370" s="622" t="s">
        <v>125</v>
      </c>
      <c r="P370" s="624" t="s">
        <v>126</v>
      </c>
      <c r="Q370" s="584" t="s">
        <v>127</v>
      </c>
      <c r="R370" s="634" t="s">
        <v>128</v>
      </c>
      <c r="S370" s="633" t="s">
        <v>129</v>
      </c>
      <c r="T370" s="164"/>
      <c r="U370" s="165"/>
    </row>
    <row r="371" spans="1:21" ht="39.75" customHeight="1">
      <c r="A371" s="568"/>
      <c r="B371" s="571" t="s">
        <v>110</v>
      </c>
      <c r="C371" s="571" t="s">
        <v>130</v>
      </c>
      <c r="D371" s="571" t="s">
        <v>131</v>
      </c>
      <c r="E371" s="571" t="s">
        <v>132</v>
      </c>
      <c r="F371" s="571" t="s">
        <v>110</v>
      </c>
      <c r="G371" s="166" t="s">
        <v>133</v>
      </c>
      <c r="H371" s="619"/>
      <c r="I371" s="167"/>
      <c r="J371" s="621"/>
      <c r="K371" s="554"/>
      <c r="L371" s="554"/>
      <c r="M371" s="554"/>
      <c r="N371" s="168" t="s">
        <v>134</v>
      </c>
      <c r="O371" s="623"/>
      <c r="P371" s="624"/>
      <c r="Q371" s="584"/>
      <c r="R371" s="634"/>
      <c r="S371" s="633"/>
      <c r="T371" s="627">
        <f>I383-S384-P383</f>
        <v>0</v>
      </c>
      <c r="U371" s="628"/>
    </row>
    <row r="372" spans="1:21" ht="35.25" customHeight="1">
      <c r="A372" s="568"/>
      <c r="B372" s="572"/>
      <c r="C372" s="572"/>
      <c r="D372" s="572"/>
      <c r="E372" s="572"/>
      <c r="F372" s="572"/>
      <c r="G372" s="139"/>
      <c r="H372" s="169">
        <f aca="true" t="shared" si="34" ref="H372:M372">IF(H373&gt;0,1,0)</f>
        <v>0</v>
      </c>
      <c r="I372" s="170">
        <f t="shared" si="34"/>
        <v>0</v>
      </c>
      <c r="J372" s="171">
        <f t="shared" si="34"/>
        <v>0</v>
      </c>
      <c r="K372" s="172">
        <f t="shared" si="34"/>
        <v>0</v>
      </c>
      <c r="L372" s="173">
        <f t="shared" si="34"/>
        <v>0</v>
      </c>
      <c r="M372" s="173">
        <f t="shared" si="34"/>
        <v>0</v>
      </c>
      <c r="N372" s="174">
        <v>0</v>
      </c>
      <c r="O372" s="175">
        <f>IF(O373&gt;0,1,0)</f>
        <v>0</v>
      </c>
      <c r="P372" s="171">
        <f>IF(P373&gt;0,1,0)</f>
        <v>0</v>
      </c>
      <c r="Q372" s="173">
        <f>IF(Q373&gt;0,1,0)</f>
        <v>0</v>
      </c>
      <c r="R372" s="173">
        <f>IF(R373&gt;0,1,0)</f>
        <v>0</v>
      </c>
      <c r="S372" s="176">
        <f>IF(S373&gt;0,1,0)</f>
        <v>0</v>
      </c>
      <c r="T372" s="627"/>
      <c r="U372" s="628"/>
    </row>
    <row r="373" spans="1:21" ht="36" customHeight="1" thickBot="1">
      <c r="A373" s="568"/>
      <c r="B373" s="177">
        <v>1</v>
      </c>
      <c r="C373" s="177">
        <v>0.8</v>
      </c>
      <c r="D373" s="572"/>
      <c r="E373" s="572"/>
      <c r="F373" s="177">
        <v>0.7</v>
      </c>
      <c r="G373" s="178">
        <v>0</v>
      </c>
      <c r="H373" s="179">
        <f>IF(E370&gt;0,ROUND((C384*E369),2)*E370,0)+IF(F370&gt;0,C384*F370,0)</f>
        <v>0</v>
      </c>
      <c r="I373" s="180"/>
      <c r="J373" s="181">
        <f>IF(G366&gt;0,IF(B366&gt;=G366,E379-((E379/22)*F379),(E379-(ROUND(((E379/22)*(((G366-B366)/8*B391)+F379)),2))))-IF(B366=0,0,0)-IF(B366&lt;=F379*8*B391,E379-ROUND(((E379/22)*(((G366-B366)/8*B391)+F379)),2),0),0)</f>
        <v>0</v>
      </c>
      <c r="K373" s="182">
        <f>G382-R373</f>
        <v>0</v>
      </c>
      <c r="L373" s="182">
        <f>IF(F384&gt;0,IF(F384&lt;190,F384,190),0)</f>
        <v>0</v>
      </c>
      <c r="M373" s="182"/>
      <c r="N373" s="183">
        <f>IF(N372&gt;0,L$3*B391*N372,0)</f>
        <v>0</v>
      </c>
      <c r="O373" s="184">
        <f>IF(C391&lt;=$P$2,IF(G384&gt;0,IF(G384&lt;500,G384,500),0),0)</f>
        <v>0</v>
      </c>
      <c r="P373" s="181">
        <f>IF(G379&gt;0,ROUND(((G379/G366)*B366),2),0)+G378</f>
        <v>0</v>
      </c>
      <c r="Q373" s="182">
        <f>IF(F377&gt;0,ROUND((F377/G366)*B366,2),0)</f>
        <v>0</v>
      </c>
      <c r="R373" s="182">
        <f>IF(G382&gt;0,IF(G382&lt;380,G382,380),0)</f>
        <v>0</v>
      </c>
      <c r="S373" s="185"/>
      <c r="T373" s="627"/>
      <c r="U373" s="628"/>
    </row>
    <row r="374" spans="1:21" ht="60" customHeight="1" thickBot="1" thickTop="1">
      <c r="A374" s="568"/>
      <c r="B374" s="137"/>
      <c r="C374" s="137"/>
      <c r="D374" s="137"/>
      <c r="E374" s="137"/>
      <c r="F374" s="137"/>
      <c r="G374" s="139">
        <f>IF(L362+L375-Q373-P373-K383-J373&gt;$F$1,IF(G373&gt;0,IF(((H383-S384-L389-L383-J373-K373-L373-O386+P391)*(100%-G373))&gt;=(($F$1*B391)-IF(ROUND(((ROUND(($F$1-C391),0.1)*E391)-D391),0.1)&gt;0,ROUND(((ROUND(($F$1-C391),0.1)*E391)-D391),0.1),0)),((H383-S384-L389-L383-J373-K373-L373-O386+P391)*G373)))+IF(G373&gt;0,IF(((H383-S384-L389-L383-J373-K373-L373-O386+P391)*(100%-G373))&lt;(($F$1*B391)-IF(ROUND(((ROUND(($F$1-C391),0.1)*E391)-D391),0.1)&gt;0,ROUND(((ROUND(($F$1-C391),0.1)*E391)-D391),0.1),0)),(H383-S384-L389-L383-J373-K373-L373-O386+P391)-(($F$1*B391)-IF(ROUND(((ROUND(($F$1-C391),0.1)*E391)-D391),0.1)&gt;0,ROUND(((ROUND(($F$1-C391),0.1)*E391)-D391),0.1),0)))),0)</f>
        <v>0</v>
      </c>
      <c r="H374" s="629" t="s">
        <v>135</v>
      </c>
      <c r="I374" s="630"/>
      <c r="J374" s="630"/>
      <c r="K374" s="575">
        <f>L375+P374</f>
        <v>0</v>
      </c>
      <c r="L374" s="576"/>
      <c r="M374" s="631" t="s">
        <v>136</v>
      </c>
      <c r="N374" s="632"/>
      <c r="O374" s="632"/>
      <c r="P374" s="575">
        <f>P375+S375</f>
        <v>0</v>
      </c>
      <c r="Q374" s="575"/>
      <c r="R374" s="186"/>
      <c r="S374" s="186"/>
      <c r="T374" s="187">
        <v>200</v>
      </c>
      <c r="U374" s="188">
        <f>ROUND(((1400/'[1]Li-pł zlec'!$V$1)*'[1]LI-PŁ-prac'!T374),2)+((H373+L375)-ROUND(((H373+L375)*$N$3),2))+O376+P376+P378+R378+S378-O383-L383-M383</f>
        <v>1750</v>
      </c>
    </row>
    <row r="375" spans="1:21" ht="119.25" customHeight="1">
      <c r="A375" s="568"/>
      <c r="B375" s="189" t="s">
        <v>137</v>
      </c>
      <c r="C375" s="190" t="s">
        <v>138</v>
      </c>
      <c r="D375" s="595" t="s">
        <v>139</v>
      </c>
      <c r="E375" s="649" t="s">
        <v>307</v>
      </c>
      <c r="F375" s="191" t="s">
        <v>140</v>
      </c>
      <c r="G375" s="192" t="s">
        <v>141</v>
      </c>
      <c r="H375" s="651" t="s">
        <v>142</v>
      </c>
      <c r="I375" s="652"/>
      <c r="J375" s="652"/>
      <c r="K375" s="652"/>
      <c r="L375" s="193">
        <f>SUM(H378:L378)</f>
        <v>0</v>
      </c>
      <c r="M375" s="625"/>
      <c r="N375" s="626"/>
      <c r="O375" s="626"/>
      <c r="P375" s="193"/>
      <c r="Q375" s="635"/>
      <c r="R375" s="636"/>
      <c r="S375" s="194"/>
      <c r="T375" s="637"/>
      <c r="U375" s="638"/>
    </row>
    <row r="376" spans="1:21" ht="141" customHeight="1" thickBot="1">
      <c r="A376" s="568"/>
      <c r="B376" s="195" t="s">
        <v>143</v>
      </c>
      <c r="C376" s="196"/>
      <c r="D376" s="554"/>
      <c r="E376" s="650"/>
      <c r="F376" s="197">
        <f>IF(F377&gt;0,1,0)</f>
        <v>0</v>
      </c>
      <c r="G376" s="155" t="s">
        <v>308</v>
      </c>
      <c r="H376" s="198" t="s">
        <v>144</v>
      </c>
      <c r="I376" s="199" t="s">
        <v>145</v>
      </c>
      <c r="J376" s="199" t="s">
        <v>146</v>
      </c>
      <c r="K376" s="199" t="s">
        <v>147</v>
      </c>
      <c r="L376" s="200" t="s">
        <v>148</v>
      </c>
      <c r="M376" s="201"/>
      <c r="N376" s="202"/>
      <c r="O376" s="203"/>
      <c r="P376" s="204"/>
      <c r="Q376" s="205"/>
      <c r="R376" s="206"/>
      <c r="S376" s="207"/>
      <c r="T376" s="637"/>
      <c r="U376" s="638"/>
    </row>
    <row r="377" spans="1:21" ht="51.75" customHeight="1">
      <c r="A377" s="568"/>
      <c r="B377" s="208"/>
      <c r="C377" s="595" t="s">
        <v>149</v>
      </c>
      <c r="D377" s="554"/>
      <c r="E377" s="209"/>
      <c r="F377" s="210">
        <f>IF(T363&gt;0,$H$3,0)</f>
        <v>0</v>
      </c>
      <c r="G377" s="211">
        <f>IF(G378+G379&gt;0,1,0)</f>
        <v>0</v>
      </c>
      <c r="H377" s="212">
        <f>IF(H378&gt;0,1,0)</f>
        <v>0</v>
      </c>
      <c r="I377" s="213">
        <f>IF(I378&gt;0,1,0)</f>
        <v>0</v>
      </c>
      <c r="J377" s="213">
        <f>IF(J378&gt;0,1,0)</f>
        <v>0</v>
      </c>
      <c r="K377" s="213">
        <f>IF(K378&gt;0,1,0)</f>
        <v>0</v>
      </c>
      <c r="L377" s="214">
        <f>IF(L378&gt;0,1,0)</f>
        <v>0</v>
      </c>
      <c r="M377" s="639" t="s">
        <v>150</v>
      </c>
      <c r="N377" s="640"/>
      <c r="O377" s="641"/>
      <c r="P377" s="642"/>
      <c r="Q377" s="215"/>
      <c r="R377" s="216"/>
      <c r="S377" s="217"/>
      <c r="T377" s="643"/>
      <c r="U377" s="644"/>
    </row>
    <row r="378" spans="1:21" ht="60.75" customHeight="1" thickBot="1">
      <c r="A378" s="568"/>
      <c r="B378" s="218" t="s">
        <v>151</v>
      </c>
      <c r="C378" s="554"/>
      <c r="D378" s="131"/>
      <c r="E378" s="219">
        <f>IF(E377&gt;0,C$3,0)</f>
        <v>0</v>
      </c>
      <c r="F378" s="220" t="s">
        <v>152</v>
      </c>
      <c r="G378" s="221"/>
      <c r="H378" s="179">
        <f>IF(G370&gt;0,(ROUND((C384*G369),2)*G370),0)+IF(B374&gt;0,(ROUND((C384*B373),2)*B374),0)+IF(F374&gt;0,(ROUND((C384*F373),2)*F374),0)</f>
        <v>0</v>
      </c>
      <c r="I378" s="182">
        <f>IF(E374&gt;0,(ROUND(((D384*D383)/30),2)*E374),0)</f>
        <v>0</v>
      </c>
      <c r="J378" s="182">
        <f>IF(C374&gt;0,(ROUND(C384*C373,2)*C374),0)</f>
        <v>0</v>
      </c>
      <c r="K378" s="182">
        <f>IF(D374&gt;0,(ROUND(C384,2)*D374),0)</f>
        <v>0</v>
      </c>
      <c r="L378" s="222">
        <f>E384</f>
        <v>0</v>
      </c>
      <c r="M378" s="645">
        <f>Q363+M368+L375</f>
        <v>0</v>
      </c>
      <c r="N378" s="646"/>
      <c r="O378" s="202"/>
      <c r="P378" s="223"/>
      <c r="Q378" s="224"/>
      <c r="R378" s="182"/>
      <c r="S378" s="185"/>
      <c r="T378" s="695" t="s">
        <v>153</v>
      </c>
      <c r="U378" s="696"/>
    </row>
    <row r="379" spans="1:21" ht="41.25" customHeight="1" thickTop="1">
      <c r="A379" s="568"/>
      <c r="B379" s="208"/>
      <c r="C379" s="208"/>
      <c r="D379" s="208"/>
      <c r="E379" s="203">
        <f>ROUND((E377*E378),2)</f>
        <v>0</v>
      </c>
      <c r="F379" s="225"/>
      <c r="G379" s="226"/>
      <c r="H379" s="653" t="s">
        <v>309</v>
      </c>
      <c r="I379" s="655" t="s">
        <v>154</v>
      </c>
      <c r="J379" s="657" t="s">
        <v>155</v>
      </c>
      <c r="K379" s="660" t="s">
        <v>156</v>
      </c>
      <c r="L379" s="661" t="s">
        <v>157</v>
      </c>
      <c r="M379" s="661"/>
      <c r="N379" s="661"/>
      <c r="O379" s="662"/>
      <c r="P379" s="663" t="s">
        <v>158</v>
      </c>
      <c r="Q379" s="227" t="s">
        <v>159</v>
      </c>
      <c r="R379" s="228" t="s">
        <v>160</v>
      </c>
      <c r="S379" s="229" t="s">
        <v>161</v>
      </c>
      <c r="T379" s="695" t="s">
        <v>162</v>
      </c>
      <c r="U379" s="696"/>
    </row>
    <row r="380" spans="1:21" ht="92.25" customHeight="1">
      <c r="A380" s="568"/>
      <c r="B380" s="664" t="s">
        <v>163</v>
      </c>
      <c r="C380" s="117" t="s">
        <v>164</v>
      </c>
      <c r="D380" s="337" t="s">
        <v>165</v>
      </c>
      <c r="E380" s="146" t="s">
        <v>166</v>
      </c>
      <c r="F380" s="697" t="s">
        <v>167</v>
      </c>
      <c r="G380" s="191" t="s">
        <v>168</v>
      </c>
      <c r="H380" s="654"/>
      <c r="I380" s="656"/>
      <c r="J380" s="658"/>
      <c r="K380" s="584"/>
      <c r="L380" s="232" t="s">
        <v>169</v>
      </c>
      <c r="M380" s="123" t="s">
        <v>170</v>
      </c>
      <c r="N380" s="136" t="s">
        <v>171</v>
      </c>
      <c r="O380" s="136" t="s">
        <v>172</v>
      </c>
      <c r="P380" s="556"/>
      <c r="Q380" s="233">
        <f>ROUND(IF(S385&gt;$N$4,IF(S385&lt;=$O$4,7866.25+((S385-$N$4)*$O$3)),0)+IF(S385&gt;$O$4,20177.65+((S385-$O$4)*$P$3),0)+IF(S385&lt;=$N$4,IF(S385*E391&gt;0,S385*E391),0),0.1)</f>
        <v>0</v>
      </c>
      <c r="R380" s="234">
        <f>IF(L375&gt;0,ROUND((ROUND((L375),0.1)*E391),0.1),0)</f>
        <v>0</v>
      </c>
      <c r="S380" s="235">
        <f>IF(Q380+R380-D391&gt;=0,Q380+R380-D391,0)+IF(D391-Q380+R380&gt;0&lt;D391+0.001,Q380+R380-D391,0)</f>
        <v>0</v>
      </c>
      <c r="T380" s="695" t="s">
        <v>173</v>
      </c>
      <c r="U380" s="696"/>
    </row>
    <row r="381" spans="1:21" ht="36.75" customHeight="1">
      <c r="A381" s="568"/>
      <c r="B381" s="665"/>
      <c r="C381" s="230"/>
      <c r="D381" s="236"/>
      <c r="E381" s="237"/>
      <c r="F381" s="698"/>
      <c r="G381" s="239" t="s">
        <v>310</v>
      </c>
      <c r="H381" s="654"/>
      <c r="I381" s="656"/>
      <c r="J381" s="658"/>
      <c r="K381" s="584"/>
      <c r="L381" s="123"/>
      <c r="M381" s="240"/>
      <c r="N381" s="241"/>
      <c r="O381" s="136"/>
      <c r="P381" s="556"/>
      <c r="Q381" s="668" t="s">
        <v>174</v>
      </c>
      <c r="R381" s="669"/>
      <c r="S381" s="235">
        <f>ROUND(IF(S380&gt;=L391,S380-L391,0),0.1)</f>
        <v>0</v>
      </c>
      <c r="T381" s="338" t="str">
        <f>L$8</f>
        <v>styczeń</v>
      </c>
      <c r="U381" s="339" t="str">
        <f>N$8</f>
        <v>2011 r.</v>
      </c>
    </row>
    <row r="382" spans="1:21" ht="48" customHeight="1">
      <c r="A382" s="568"/>
      <c r="B382" s="244">
        <f>IF(B383=0,IF(T363&gt;0,IF(T368&gt;0,IF(T368="I kl",O$1)+IF(T368="II kl",P$1)+IF(T368="III kl",Q$1),ROUND((E$1*B391),2)),0),0)</f>
        <v>0</v>
      </c>
      <c r="C382" s="118" t="s">
        <v>175</v>
      </c>
      <c r="D382" s="123" t="s">
        <v>176</v>
      </c>
      <c r="E382" s="245"/>
      <c r="F382" s="698"/>
      <c r="G382" s="139"/>
      <c r="H382" s="246">
        <f>IF(H383&gt;0,1,0)</f>
        <v>0</v>
      </c>
      <c r="I382" s="247">
        <f>IF(I383&gt;0,1,0)</f>
        <v>0</v>
      </c>
      <c r="J382" s="658"/>
      <c r="K382" s="248">
        <f aca="true" t="shared" si="35" ref="K382:P382">IF(K383&gt;0,1,0)</f>
        <v>0</v>
      </c>
      <c r="L382" s="249">
        <f t="shared" si="35"/>
        <v>0</v>
      </c>
      <c r="M382" s="250">
        <f t="shared" si="35"/>
        <v>0</v>
      </c>
      <c r="N382" s="249">
        <f t="shared" si="35"/>
        <v>0</v>
      </c>
      <c r="O382" s="251">
        <f t="shared" si="35"/>
        <v>0</v>
      </c>
      <c r="P382" s="252">
        <f t="shared" si="35"/>
        <v>0</v>
      </c>
      <c r="Q382" s="670" t="s">
        <v>177</v>
      </c>
      <c r="R382" s="253" t="s">
        <v>178</v>
      </c>
      <c r="S382" s="235">
        <v>0</v>
      </c>
      <c r="T382" s="647" t="s">
        <v>179</v>
      </c>
      <c r="U382" s="648"/>
    </row>
    <row r="383" spans="1:21" ht="57.75" customHeight="1" thickBot="1">
      <c r="A383" s="568"/>
      <c r="B383" s="254"/>
      <c r="C383" s="230"/>
      <c r="D383" s="177">
        <v>0.9</v>
      </c>
      <c r="E383" s="255">
        <f>IF(E381&gt;0,$U$1-E382,0)</f>
        <v>0</v>
      </c>
      <c r="F383" s="238">
        <f>IF(F384&gt;0,1,0)</f>
        <v>0</v>
      </c>
      <c r="G383" s="256" t="s">
        <v>180</v>
      </c>
      <c r="H383" s="257">
        <f>P362+L375-P391</f>
        <v>0</v>
      </c>
      <c r="I383" s="233">
        <f>L362+K374</f>
        <v>0</v>
      </c>
      <c r="J383" s="659"/>
      <c r="K383" s="244">
        <f>S367+K373+L373+O373+R373+O386+L389-N383</f>
        <v>0</v>
      </c>
      <c r="L383" s="244"/>
      <c r="M383" s="244">
        <f>G372+IF(G374&gt;0,G374,0)</f>
        <v>0</v>
      </c>
      <c r="N383" s="244">
        <f>L389-L391</f>
        <v>0</v>
      </c>
      <c r="O383" s="244"/>
      <c r="P383" s="258">
        <f>SUM(K383:O383)</f>
        <v>0</v>
      </c>
      <c r="Q383" s="671"/>
      <c r="R383" s="259" t="s">
        <v>181</v>
      </c>
      <c r="S383" s="235">
        <v>0</v>
      </c>
      <c r="T383" s="647" t="s">
        <v>182</v>
      </c>
      <c r="U383" s="648"/>
    </row>
    <row r="384" spans="1:21" ht="45.75" customHeight="1" thickBot="1" thickTop="1">
      <c r="A384" s="569"/>
      <c r="B384" s="244">
        <f>IF(B383=0,ROUND(IF(B382&gt;0,CEILING((B382/G366),0.01),B383),2),B383)</f>
        <v>0</v>
      </c>
      <c r="C384" s="244">
        <f>IF(T363&gt;0,(IF(C381&gt;0,ROUND(((C381-(C381*(B387+C387+D387)))/30),2),0)+IF(C383&gt;0,ROUND((C383/30),2),0))+(IF(IF(C381&gt;0,ROUND(((C381-(C381*(B387+C387+D387)))/30),2),0)+IF(C383&gt;0,ROUND((C383/30),2),0)&lt;ROUND((($F$1*B391)/30),2),(IF(C381+C383&gt;0,ROUND((($F$1*B391)/30),2)-(IF(C381&gt;0,ROUND(((C381-(C381*(B387+C387+D387)))/30),2),0)+IF(C383&gt;0,ROUND((C383/30),2),0)))),0)),0)</f>
        <v>0</v>
      </c>
      <c r="D384" s="244"/>
      <c r="E384" s="244">
        <f>IF(E383&gt;0,IF(ROUND(E381-((E381/30)*E382),2)-H386+O386&gt;0,ROUND(E381-((E381/30)*E382),2)-H386+O386,0),0)</f>
        <v>0</v>
      </c>
      <c r="F384" s="137"/>
      <c r="G384" s="139"/>
      <c r="H384" s="672" t="s">
        <v>183</v>
      </c>
      <c r="I384" s="673"/>
      <c r="J384" s="673"/>
      <c r="K384" s="673"/>
      <c r="L384" s="673"/>
      <c r="M384" s="674" t="s">
        <v>184</v>
      </c>
      <c r="N384" s="675"/>
      <c r="O384" s="260" t="s">
        <v>185</v>
      </c>
      <c r="P384" s="261" t="s">
        <v>186</v>
      </c>
      <c r="Q384" s="676" t="s">
        <v>187</v>
      </c>
      <c r="R384" s="677"/>
      <c r="S384" s="262">
        <f>ROUND((IF(S381-S382&gt;=0,S381-S382,0)+S383),0.1)</f>
        <v>0</v>
      </c>
      <c r="T384" s="263" t="str">
        <f>L$8</f>
        <v>styczeń</v>
      </c>
      <c r="U384" s="264" t="str">
        <f>N$8</f>
        <v>2011 r.</v>
      </c>
    </row>
    <row r="385" spans="1:21" ht="69.75" customHeight="1" thickBot="1" thickTop="1">
      <c r="A385" s="568"/>
      <c r="B385" s="699" t="s">
        <v>188</v>
      </c>
      <c r="C385" s="700"/>
      <c r="D385" s="700"/>
      <c r="E385" s="701"/>
      <c r="F385" s="265" t="s">
        <v>189</v>
      </c>
      <c r="G385" s="266" t="s">
        <v>190</v>
      </c>
      <c r="H385" s="267" t="s">
        <v>191</v>
      </c>
      <c r="I385" s="268" t="s">
        <v>192</v>
      </c>
      <c r="J385" s="269" t="s">
        <v>193</v>
      </c>
      <c r="K385" s="238" t="s">
        <v>194</v>
      </c>
      <c r="L385" s="270" t="s">
        <v>195</v>
      </c>
      <c r="M385" s="198" t="s">
        <v>196</v>
      </c>
      <c r="N385" s="271" t="s">
        <v>197</v>
      </c>
      <c r="O385" s="294" t="s">
        <v>198</v>
      </c>
      <c r="P385" s="273" t="s">
        <v>199</v>
      </c>
      <c r="Q385" s="340" t="s">
        <v>200</v>
      </c>
      <c r="R385" s="275" t="s">
        <v>201</v>
      </c>
      <c r="S385" s="276">
        <f>IF(ROUND((P362-P391-C391),0.1)&gt;0,ROUND((P362-P391-C391),0.1),0)</f>
        <v>0</v>
      </c>
      <c r="T385" s="277"/>
      <c r="U385" s="278"/>
    </row>
    <row r="386" spans="1:21" ht="81" customHeight="1" thickTop="1">
      <c r="A386" s="568"/>
      <c r="B386" s="279" t="s">
        <v>202</v>
      </c>
      <c r="C386" s="279" t="s">
        <v>203</v>
      </c>
      <c r="D386" s="279" t="s">
        <v>204</v>
      </c>
      <c r="E386" s="279" t="s">
        <v>205</v>
      </c>
      <c r="F386" s="279" t="s">
        <v>206</v>
      </c>
      <c r="G386" s="280">
        <f>ROUND((H386*G388),2)</f>
        <v>0</v>
      </c>
      <c r="H386" s="281">
        <f>Q363+O373</f>
        <v>0</v>
      </c>
      <c r="I386" s="282">
        <f>Q363+O373</f>
        <v>0</v>
      </c>
      <c r="J386" s="282">
        <f>Q363+O373</f>
        <v>0</v>
      </c>
      <c r="K386" s="282">
        <f>Q363+O373</f>
        <v>0</v>
      </c>
      <c r="L386" s="283">
        <f>Q363+H373+I373-O386+O373</f>
        <v>0</v>
      </c>
      <c r="M386" s="284">
        <f>IF(D381&gt;0,IF(D381&lt;$U$1,ROUND((($E$1/$U$1)*D381),2),$E$1))+IF(K378&gt;0,K378,0)</f>
        <v>0</v>
      </c>
      <c r="N386" s="285">
        <f>M386</f>
        <v>0</v>
      </c>
      <c r="O386" s="286">
        <f>SUM(H389:J389)</f>
        <v>0</v>
      </c>
      <c r="P386" s="287">
        <f>IF(P387&gt;0,1,0)</f>
        <v>0</v>
      </c>
      <c r="Q386" s="288">
        <f>ROUND((H386-O373-P391+H373+I373)*$R$3,2)</f>
        <v>0</v>
      </c>
      <c r="R386" s="681" t="s">
        <v>207</v>
      </c>
      <c r="S386" s="683" t="s">
        <v>311</v>
      </c>
      <c r="T386" s="289"/>
      <c r="U386" s="278"/>
    </row>
    <row r="387" spans="1:21" ht="38.25" customHeight="1">
      <c r="A387" s="568"/>
      <c r="B387" s="158">
        <f>IF(H386&gt;0,B$2,0)</f>
        <v>0</v>
      </c>
      <c r="C387" s="158">
        <f>IF(I386&gt;0,H$4,0)</f>
        <v>0</v>
      </c>
      <c r="D387" s="158">
        <f>IF(J386&gt;0,F$2,0)</f>
        <v>0</v>
      </c>
      <c r="E387" s="158" t="s">
        <v>208</v>
      </c>
      <c r="F387" s="290" t="s">
        <v>209</v>
      </c>
      <c r="G387" s="291">
        <v>0</v>
      </c>
      <c r="H387" s="685" t="s">
        <v>210</v>
      </c>
      <c r="I387" s="686"/>
      <c r="J387" s="686"/>
      <c r="K387" s="686"/>
      <c r="L387" s="686"/>
      <c r="M387" s="292" t="s">
        <v>211</v>
      </c>
      <c r="N387" s="293" t="s">
        <v>212</v>
      </c>
      <c r="O387" s="294" t="s">
        <v>213</v>
      </c>
      <c r="P387" s="52">
        <f>IF(I386&lt;$E$1,IF(B391=1,IF(T368=0,ROUND((I386*$L$2),2),0),0),ROUND((I386*$L$2),2))</f>
        <v>0</v>
      </c>
      <c r="Q387" s="295" t="s">
        <v>214</v>
      </c>
      <c r="R387" s="682"/>
      <c r="S387" s="684"/>
      <c r="T387" s="289"/>
      <c r="U387" s="278"/>
    </row>
    <row r="388" spans="1:21" ht="42.75" customHeight="1" thickBot="1">
      <c r="A388" s="568"/>
      <c r="B388" s="158">
        <f>IF(H386&gt;0,B$2,0)</f>
        <v>0</v>
      </c>
      <c r="C388" s="158">
        <f>IF(I386&gt;0,D$2,0)</f>
        <v>0</v>
      </c>
      <c r="D388" s="158" t="s">
        <v>208</v>
      </c>
      <c r="E388" s="158">
        <f>IF(K386&gt;0,H$2,0)</f>
        <v>0</v>
      </c>
      <c r="F388" s="158">
        <f>IF(L386&gt;0,J$2,0)</f>
        <v>0</v>
      </c>
      <c r="G388" s="158">
        <f>IF(G387&gt;0,L$1,0)</f>
        <v>0</v>
      </c>
      <c r="H388" s="296" t="s">
        <v>215</v>
      </c>
      <c r="I388" s="297" t="s">
        <v>215</v>
      </c>
      <c r="J388" s="297" t="s">
        <v>215</v>
      </c>
      <c r="K388" s="298" t="s">
        <v>209</v>
      </c>
      <c r="L388" s="299" t="s">
        <v>215</v>
      </c>
      <c r="M388" s="300">
        <f>ROUND(M386*(B$2+B$2),2)</f>
        <v>0</v>
      </c>
      <c r="N388" s="301">
        <f>ROUND(N386*(D$2+H$4),2)</f>
        <v>0</v>
      </c>
      <c r="O388" s="302">
        <f>H391+I391+K391+G386</f>
        <v>0</v>
      </c>
      <c r="P388" s="303" t="s">
        <v>216</v>
      </c>
      <c r="Q388" s="304">
        <f>ROUND((L386*J$2),2)</f>
        <v>0</v>
      </c>
      <c r="R388" s="305" t="s">
        <v>217</v>
      </c>
      <c r="S388" s="684"/>
      <c r="T388" s="289"/>
      <c r="U388" s="278"/>
    </row>
    <row r="389" spans="1:21" ht="53.25" customHeight="1" thickBot="1" thickTop="1">
      <c r="A389" s="568"/>
      <c r="B389" s="141">
        <f>IF(B387+B388&gt;0,1,0)</f>
        <v>0</v>
      </c>
      <c r="C389" s="141">
        <f>IF(C387+C388&gt;0,1,0)</f>
        <v>0</v>
      </c>
      <c r="D389" s="141">
        <f>IF(D387&gt;0,1,0)</f>
        <v>0</v>
      </c>
      <c r="E389" s="141">
        <f>IF(E388&gt;0,1,0)</f>
        <v>0</v>
      </c>
      <c r="F389" s="141">
        <f>IF(F388&gt;0,1,0)</f>
        <v>0</v>
      </c>
      <c r="G389" s="141">
        <f>IF(G388&gt;0,1,0)</f>
        <v>0</v>
      </c>
      <c r="H389" s="306">
        <f>ROUND(H386*B387,2)</f>
        <v>0</v>
      </c>
      <c r="I389" s="307">
        <f>ROUND(I386*C387,2)</f>
        <v>0</v>
      </c>
      <c r="J389" s="307">
        <f>ROUND(J386*D387,2)</f>
        <v>0</v>
      </c>
      <c r="K389" s="244" t="s">
        <v>209</v>
      </c>
      <c r="L389" s="307">
        <f>IF(S380&gt;=ROUND(L386*F388,2),ROUND(L386*F388,2),S380)</f>
        <v>0</v>
      </c>
      <c r="M389" s="687" t="s">
        <v>218</v>
      </c>
      <c r="N389" s="688"/>
      <c r="O389" s="689" t="s">
        <v>219</v>
      </c>
      <c r="P389" s="308">
        <f>IF(P390&gt;0,1,0)</f>
        <v>0</v>
      </c>
      <c r="Q389" s="309" t="s">
        <v>220</v>
      </c>
      <c r="R389" s="310">
        <f>IF(B366=G366,H367+I367+J367+L367+O367+R367+IF(K367&gt;0,ROUND((K367/K365),2),0),0)+IF(B366&lt;G366,IF(B366&gt;0,ROUND((((H367+J367)/B366)*(G366-B379)),2)+IF(K367&gt;0,ROUND((K367/K365),2),0)+I367+L367+O367+R367,0),0)</f>
        <v>0</v>
      </c>
      <c r="S389" s="235">
        <f>IF(S381-S382&lt;0,S382-S381,0)</f>
        <v>0</v>
      </c>
      <c r="T389" s="289"/>
      <c r="U389" s="278"/>
    </row>
    <row r="390" spans="1:22" ht="63" customHeight="1" thickBot="1" thickTop="1">
      <c r="A390" s="568"/>
      <c r="B390" s="311" t="s">
        <v>221</v>
      </c>
      <c r="C390" s="311" t="s">
        <v>222</v>
      </c>
      <c r="D390" s="311" t="s">
        <v>34</v>
      </c>
      <c r="E390" s="146" t="s">
        <v>223</v>
      </c>
      <c r="F390" s="312" t="s">
        <v>224</v>
      </c>
      <c r="G390" s="139">
        <f>IF(Q386&gt;Q380,Q386-Q380,0)</f>
        <v>0</v>
      </c>
      <c r="H390" s="313" t="s">
        <v>225</v>
      </c>
      <c r="I390" s="314" t="s">
        <v>225</v>
      </c>
      <c r="J390" s="298" t="s">
        <v>209</v>
      </c>
      <c r="K390" s="315" t="s">
        <v>225</v>
      </c>
      <c r="L390" s="316" t="s">
        <v>226</v>
      </c>
      <c r="M390" s="317" t="s">
        <v>227</v>
      </c>
      <c r="N390" s="318" t="s">
        <v>228</v>
      </c>
      <c r="O390" s="690"/>
      <c r="P390" s="319">
        <f>ROUND(N$2*H386,2)</f>
        <v>0</v>
      </c>
      <c r="Q390" s="320">
        <f>IF(D381&gt;0,$U$2,0)</f>
        <v>0</v>
      </c>
      <c r="R390" s="321" t="s">
        <v>229</v>
      </c>
      <c r="S390" s="322" t="s">
        <v>230</v>
      </c>
      <c r="T390" s="691" t="s">
        <v>231</v>
      </c>
      <c r="U390" s="702"/>
      <c r="V390" s="323">
        <f>IF(ISBLANK(AM362),0,IF(IF(AF377&gt;=AI$2,AI$2,AF377)&gt;0,IF(AF377&gt;=AI$2,AI$2,AF377),0))</f>
        <v>0</v>
      </c>
    </row>
    <row r="391" spans="1:22" ht="42" customHeight="1" thickBot="1" thickTop="1">
      <c r="A391" s="570"/>
      <c r="B391" s="324">
        <f>IF(ISBLANK(T363),0,1)</f>
        <v>0</v>
      </c>
      <c r="C391" s="324">
        <f>IF(ISBLANK(T363),0,IF(IF(M378&gt;=P$2,P$2,M378)&gt;0,IF(M378&gt;=P$2,P$2,M378),0))</f>
        <v>0</v>
      </c>
      <c r="D391" s="324">
        <f>IF(ISBLANK(T363),0,S$1)</f>
        <v>0</v>
      </c>
      <c r="E391" s="325">
        <f>IF(G366&gt;0,$N$3,0)</f>
        <v>0</v>
      </c>
      <c r="F391" s="326">
        <f>O386+O388+P387+P390+L389+S384</f>
        <v>0</v>
      </c>
      <c r="G391" s="327">
        <f>IF(G390&gt;0,1,0)</f>
        <v>0</v>
      </c>
      <c r="H391" s="328">
        <f>ROUND(H386*B387,2)</f>
        <v>0</v>
      </c>
      <c r="I391" s="329">
        <f>ROUND(I386*C388,2)</f>
        <v>0</v>
      </c>
      <c r="J391" s="182" t="s">
        <v>209</v>
      </c>
      <c r="K391" s="330">
        <f>ROUND(K386*E388,2)</f>
        <v>0</v>
      </c>
      <c r="L391" s="185">
        <f>IF(S380&gt;=ROUND((H386-O373-P391+H373+I373)*$R$3,2),ROUND((H386-O373-P391+H373+I373)*$R$3,2),S380)</f>
        <v>0</v>
      </c>
      <c r="M391" s="179">
        <f>O386+O388</f>
        <v>0</v>
      </c>
      <c r="N391" s="331">
        <f>M391+L389</f>
        <v>0</v>
      </c>
      <c r="O391" s="332">
        <f>SUM(M388:N388)</f>
        <v>0</v>
      </c>
      <c r="P391" s="333">
        <f>ROUND(Q363*B387,2)+ROUND(Q363*C387,2)+ROUND(Q363*D387,2)</f>
        <v>0</v>
      </c>
      <c r="Q391" s="334">
        <f>IF(D381&gt;0,ROUND(($U$2*J$2),2),0)</f>
        <v>0</v>
      </c>
      <c r="R391" s="335">
        <f>IF(B366&gt;=G366/2,IF(B366=G366,H367+I367+J367+L367+O367+P367+R367+IF(K367&gt;0,ROUND((K367/K365),2),0),ROUND((((H367+J367+L367)/B366)*(G366-B379)),2)+IF(K367&gt;0,ROUND((K367/K365),2),0)+I367+O367+P367+R367),0)</f>
        <v>0</v>
      </c>
      <c r="S391" s="336">
        <f>IF(P362-O386-S384-L389&gt;0,P362-O386-S384-L389,0)</f>
        <v>0</v>
      </c>
      <c r="T391" s="693" t="s">
        <v>232</v>
      </c>
      <c r="U391" s="703"/>
      <c r="V391" s="323">
        <f>IF(ISBLANK(AM363),0,IF(IF(AF378&gt;=AJ$2,AJ$2,AF378)&gt;0,IF(AF378&gt;=AJ$2,AJ$2,AF378),0))</f>
        <v>0</v>
      </c>
    </row>
    <row r="392" ht="24" customHeight="1" thickTop="1"/>
    <row r="393" spans="1:23" ht="33" customHeight="1" thickBot="1">
      <c r="A393" s="111" t="s">
        <v>72</v>
      </c>
      <c r="B393" s="112" t="s">
        <v>73</v>
      </c>
      <c r="C393" s="113"/>
      <c r="D393" s="113"/>
      <c r="E393" s="114"/>
      <c r="F393" s="553" t="s">
        <v>74</v>
      </c>
      <c r="G393" s="555" t="s">
        <v>75</v>
      </c>
      <c r="H393" s="557" t="s">
        <v>76</v>
      </c>
      <c r="I393" s="557"/>
      <c r="J393" s="558"/>
      <c r="K393" s="559"/>
      <c r="L393" s="560"/>
      <c r="M393" s="560"/>
      <c r="N393" s="560"/>
      <c r="O393" s="561"/>
      <c r="P393" s="559"/>
      <c r="Q393" s="560"/>
      <c r="R393" s="560"/>
      <c r="S393" s="560"/>
      <c r="T393" s="565" t="s">
        <v>77</v>
      </c>
      <c r="U393" s="566"/>
      <c r="V393" s="102"/>
      <c r="W393" s="115"/>
    </row>
    <row r="394" spans="1:23" ht="44.25" customHeight="1" thickBot="1" thickTop="1">
      <c r="A394" s="567">
        <f>A362+1</f>
        <v>13</v>
      </c>
      <c r="B394" s="571" t="s">
        <v>79</v>
      </c>
      <c r="C394" s="571" t="s">
        <v>80</v>
      </c>
      <c r="D394" s="573" t="s">
        <v>81</v>
      </c>
      <c r="E394" s="573"/>
      <c r="F394" s="554"/>
      <c r="G394" s="556"/>
      <c r="H394" s="574" t="s">
        <v>82</v>
      </c>
      <c r="I394" s="574"/>
      <c r="J394" s="574"/>
      <c r="K394" s="574"/>
      <c r="L394" s="575">
        <f>P394+S400</f>
        <v>0</v>
      </c>
      <c r="M394" s="576"/>
      <c r="N394" s="577" t="s">
        <v>83</v>
      </c>
      <c r="O394" s="578"/>
      <c r="P394" s="575">
        <f>Q395+M400</f>
        <v>0</v>
      </c>
      <c r="Q394" s="576"/>
      <c r="R394" s="119"/>
      <c r="S394" s="120"/>
      <c r="T394" s="121"/>
      <c r="U394" s="122"/>
      <c r="V394" s="102"/>
      <c r="W394" s="115"/>
    </row>
    <row r="395" spans="1:23" ht="36.75" customHeight="1">
      <c r="A395" s="568"/>
      <c r="B395" s="572"/>
      <c r="C395" s="572"/>
      <c r="D395" s="124" t="s">
        <v>85</v>
      </c>
      <c r="E395" s="124" t="s">
        <v>86</v>
      </c>
      <c r="F395" s="554"/>
      <c r="G395" s="556"/>
      <c r="H395" s="562" t="s">
        <v>87</v>
      </c>
      <c r="I395" s="563"/>
      <c r="J395" s="563"/>
      <c r="K395" s="563"/>
      <c r="L395" s="563"/>
      <c r="M395" s="563"/>
      <c r="N395" s="563"/>
      <c r="O395" s="563"/>
      <c r="P395" s="564"/>
      <c r="Q395" s="579">
        <f>SUM(H399:S399)</f>
        <v>0</v>
      </c>
      <c r="R395" s="580"/>
      <c r="S395" s="125"/>
      <c r="T395" s="581"/>
      <c r="U395" s="582"/>
      <c r="V395" s="102"/>
      <c r="W395" s="115"/>
    </row>
    <row r="396" spans="1:23" ht="38.25" customHeight="1">
      <c r="A396" s="568"/>
      <c r="B396" s="572"/>
      <c r="C396" s="126"/>
      <c r="D396" s="124" t="s">
        <v>89</v>
      </c>
      <c r="E396" s="124" t="s">
        <v>89</v>
      </c>
      <c r="F396" s="554"/>
      <c r="G396" s="127"/>
      <c r="H396" s="128" t="s">
        <v>90</v>
      </c>
      <c r="I396" s="129" t="s">
        <v>91</v>
      </c>
      <c r="J396" s="129" t="s">
        <v>92</v>
      </c>
      <c r="K396" s="130" t="s">
        <v>93</v>
      </c>
      <c r="L396" s="583" t="s">
        <v>94</v>
      </c>
      <c r="M396" s="583" t="s">
        <v>95</v>
      </c>
      <c r="N396" s="583" t="s">
        <v>96</v>
      </c>
      <c r="O396" s="585" t="s">
        <v>97</v>
      </c>
      <c r="P396" s="583" t="s">
        <v>98</v>
      </c>
      <c r="Q396" s="587" t="s">
        <v>99</v>
      </c>
      <c r="R396" s="589" t="s">
        <v>100</v>
      </c>
      <c r="S396" s="591" t="s">
        <v>101</v>
      </c>
      <c r="T396" s="581"/>
      <c r="U396" s="582"/>
      <c r="V396" s="102"/>
      <c r="W396" s="115"/>
    </row>
    <row r="397" spans="1:23" ht="30" customHeight="1">
      <c r="A397" s="568"/>
      <c r="B397" s="572"/>
      <c r="C397" s="131"/>
      <c r="D397" s="131"/>
      <c r="E397" s="131"/>
      <c r="F397" s="554"/>
      <c r="G397" s="127"/>
      <c r="H397" s="132" t="s">
        <v>103</v>
      </c>
      <c r="I397" s="133" t="s">
        <v>104</v>
      </c>
      <c r="J397" s="134">
        <v>0</v>
      </c>
      <c r="K397" s="135">
        <v>1</v>
      </c>
      <c r="L397" s="584"/>
      <c r="M397" s="584"/>
      <c r="N397" s="584"/>
      <c r="O397" s="586"/>
      <c r="P397" s="584"/>
      <c r="Q397" s="588"/>
      <c r="R397" s="590"/>
      <c r="S397" s="592"/>
      <c r="T397" s="581"/>
      <c r="U397" s="582"/>
      <c r="V397" s="102"/>
      <c r="W397" s="115"/>
    </row>
    <row r="398" spans="1:21" ht="51" customHeight="1">
      <c r="A398" s="568"/>
      <c r="B398" s="137">
        <f>G398</f>
        <v>0</v>
      </c>
      <c r="C398" s="137"/>
      <c r="D398" s="137"/>
      <c r="E398" s="138"/>
      <c r="F398" s="138"/>
      <c r="G398" s="139">
        <f>B$1*B423</f>
        <v>0</v>
      </c>
      <c r="H398" s="140">
        <f aca="true" t="shared" si="36" ref="H398:S398">IF(H399&gt;0,1,0)</f>
        <v>0</v>
      </c>
      <c r="I398" s="141">
        <f t="shared" si="36"/>
        <v>0</v>
      </c>
      <c r="J398" s="141">
        <f t="shared" si="36"/>
        <v>0</v>
      </c>
      <c r="K398" s="142">
        <f t="shared" si="36"/>
        <v>0</v>
      </c>
      <c r="L398" s="142">
        <f t="shared" si="36"/>
        <v>0</v>
      </c>
      <c r="M398" s="142">
        <f t="shared" si="36"/>
        <v>0</v>
      </c>
      <c r="N398" s="142">
        <f t="shared" si="36"/>
        <v>0</v>
      </c>
      <c r="O398" s="141">
        <f t="shared" si="36"/>
        <v>0</v>
      </c>
      <c r="P398" s="142">
        <f t="shared" si="36"/>
        <v>0</v>
      </c>
      <c r="Q398" s="142">
        <f t="shared" si="36"/>
        <v>0</v>
      </c>
      <c r="R398" s="143">
        <f t="shared" si="36"/>
        <v>0</v>
      </c>
      <c r="S398" s="144">
        <f t="shared" si="36"/>
        <v>0</v>
      </c>
      <c r="T398" s="593"/>
      <c r="U398" s="594"/>
    </row>
    <row r="399" spans="1:22" ht="49.5" customHeight="1" thickBot="1">
      <c r="A399" s="568"/>
      <c r="B399" s="595" t="s">
        <v>106</v>
      </c>
      <c r="C399" s="595" t="s">
        <v>107</v>
      </c>
      <c r="D399" s="596" t="s">
        <v>108</v>
      </c>
      <c r="E399" s="148" t="s">
        <v>109</v>
      </c>
      <c r="F399" s="149"/>
      <c r="G399" s="597" t="s">
        <v>110</v>
      </c>
      <c r="H399" s="150">
        <f>IF(B398+B402+B409+B411+C408+D402+F399&gt;0,IF(B414&gt;0,B414-(IF(E402+F402+G402+B406+C406+D406+E406+F406&gt;0,ROUND((B414/30)*IF(E402+F402+G402+B406+C406+D406+E406+F406&lt;31,E402+F402+G402+B406+C406+D406+E406+F406,30),2),0)+ROUND(((B414/G398)*(B402+B409+B411+C408+D402)),2)),0),0)+IF(B398&gt;G398,IF(B414&gt;0,(B398-G398)*B416,0),0)+IF(B415&gt;0,B415*B398,0)-IF(IF(B398+B402+B409+B411+C408+D402+F399&gt;0,IF(B414&gt;0,B414-(IF(E402+F402+G402+B406+C406+D406+E406+F406&gt;0,ROUND((B414/30)*IF(E402+F402+G402+B406+C406+D406+E406+F406&lt;31,E402+F402+G402+B406+C406+D406+E406+F406,30),2),0)+ROUND(((B414/G398)*(B402+B409+B411+C408+D402)),2)),0),0)&lt;0,IF(B398+B402+B409+B411+C408+D402+F399&gt;0,IF(B414&gt;0,B414-(IF(E402+F402+G402+B406+C406+D406+E406+F406&gt;0,ROUND((B414/30)*IF(E402+F402+G402+B406+C406+D406+E406+F406&lt;31,E402+F402+G402+B406+C406+D406+E406+F406,30),2),0)+ROUND(((B414/G398)*(B402+B409+B411+C408+D402)),2)),0),0),0)</f>
        <v>0</v>
      </c>
      <c r="I399" s="151">
        <f>ROUND(D398*ROUND(B416*150%,2)+E398*ROUND(B416*200%,2),2)</f>
        <v>0</v>
      </c>
      <c r="J399" s="151">
        <f>ROUND((J397*H399),2)</f>
        <v>0</v>
      </c>
      <c r="K399" s="151"/>
      <c r="L399" s="151">
        <f>IF(C398&gt;0,C398*ROUND(B416*U$3,2),0)+IF(U$3=0,IF(C398&gt;0,C398*ROUND(20%*ROUND(E$1/G398,2),2),0))</f>
        <v>0</v>
      </c>
      <c r="M399" s="151">
        <f>IF(B402&gt;0,ROUND((B402*C411),2),0)</f>
        <v>0</v>
      </c>
      <c r="N399" s="151">
        <f>IF(B398+D398+E398+F398&gt;0,ROUND((((H399+I399+J399+L399+O399)/(B398+D398+E398+F398))*D402),2),B416*D402)</f>
        <v>0</v>
      </c>
      <c r="O399" s="151">
        <f>ROUND((F398*B416),2)</f>
        <v>0</v>
      </c>
      <c r="P399" s="151">
        <f>IF(C402&gt;0,ROUND((D411/($I$1*8*B423)),2)*C402,0)</f>
        <v>0</v>
      </c>
      <c r="Q399" s="151"/>
      <c r="R399" s="152"/>
      <c r="S399" s="153">
        <f>IF(G416&gt;500,G416-500,0)+IF(F416&gt;190,F416-190,0)</f>
        <v>0</v>
      </c>
      <c r="T399" s="593"/>
      <c r="U399" s="594"/>
      <c r="V399" s="154"/>
    </row>
    <row r="400" spans="1:21" ht="57" customHeight="1">
      <c r="A400" s="568"/>
      <c r="B400" s="554"/>
      <c r="C400" s="554"/>
      <c r="D400" s="554"/>
      <c r="E400" s="599" t="s">
        <v>112</v>
      </c>
      <c r="F400" s="599"/>
      <c r="G400" s="598"/>
      <c r="H400" s="600" t="s">
        <v>113</v>
      </c>
      <c r="I400" s="601"/>
      <c r="J400" s="601"/>
      <c r="K400" s="601"/>
      <c r="L400" s="601"/>
      <c r="M400" s="602">
        <f>H405+I405+M401</f>
        <v>0</v>
      </c>
      <c r="N400" s="603"/>
      <c r="O400" s="604" t="s">
        <v>114</v>
      </c>
      <c r="P400" s="604"/>
      <c r="Q400" s="604"/>
      <c r="R400" s="604"/>
      <c r="S400" s="156">
        <f>S401+O405</f>
        <v>0</v>
      </c>
      <c r="T400" s="605"/>
      <c r="U400" s="606"/>
    </row>
    <row r="401" spans="1:21" ht="38.25" customHeight="1">
      <c r="A401" s="568"/>
      <c r="B401" s="157"/>
      <c r="C401" s="131"/>
      <c r="D401" s="131"/>
      <c r="E401" s="158">
        <v>0.8</v>
      </c>
      <c r="F401" s="158">
        <v>1</v>
      </c>
      <c r="G401" s="159">
        <v>0.8</v>
      </c>
      <c r="H401" s="607" t="s">
        <v>115</v>
      </c>
      <c r="I401" s="608"/>
      <c r="J401" s="609" t="s">
        <v>116</v>
      </c>
      <c r="K401" s="610"/>
      <c r="L401" s="610"/>
      <c r="M401" s="611">
        <f>SUM(J405:N405)</f>
        <v>0</v>
      </c>
      <c r="N401" s="612"/>
      <c r="O401" s="160" t="s">
        <v>117</v>
      </c>
      <c r="P401" s="613" t="s">
        <v>118</v>
      </c>
      <c r="Q401" s="614"/>
      <c r="R401" s="615"/>
      <c r="S401" s="161">
        <f>SUM(P405:S405)</f>
        <v>0</v>
      </c>
      <c r="T401" s="616"/>
      <c r="U401" s="617"/>
    </row>
    <row r="402" spans="1:21" ht="40.5" customHeight="1">
      <c r="A402" s="568"/>
      <c r="B402" s="137"/>
      <c r="C402" s="137"/>
      <c r="D402" s="137"/>
      <c r="E402" s="137"/>
      <c r="F402" s="137"/>
      <c r="G402" s="139"/>
      <c r="H402" s="618" t="s">
        <v>119</v>
      </c>
      <c r="I402" s="162"/>
      <c r="J402" s="620" t="s">
        <v>120</v>
      </c>
      <c r="K402" s="595" t="s">
        <v>121</v>
      </c>
      <c r="L402" s="595" t="s">
        <v>122</v>
      </c>
      <c r="M402" s="595" t="s">
        <v>123</v>
      </c>
      <c r="N402" s="163" t="s">
        <v>124</v>
      </c>
      <c r="O402" s="622" t="s">
        <v>125</v>
      </c>
      <c r="P402" s="624" t="s">
        <v>126</v>
      </c>
      <c r="Q402" s="584" t="s">
        <v>127</v>
      </c>
      <c r="R402" s="634" t="s">
        <v>128</v>
      </c>
      <c r="S402" s="633" t="s">
        <v>129</v>
      </c>
      <c r="T402" s="164"/>
      <c r="U402" s="165"/>
    </row>
    <row r="403" spans="1:21" ht="39.75" customHeight="1">
      <c r="A403" s="568"/>
      <c r="B403" s="571" t="s">
        <v>110</v>
      </c>
      <c r="C403" s="571" t="s">
        <v>130</v>
      </c>
      <c r="D403" s="571" t="s">
        <v>131</v>
      </c>
      <c r="E403" s="571" t="s">
        <v>132</v>
      </c>
      <c r="F403" s="571" t="s">
        <v>110</v>
      </c>
      <c r="G403" s="166" t="s">
        <v>133</v>
      </c>
      <c r="H403" s="619"/>
      <c r="I403" s="167"/>
      <c r="J403" s="621"/>
      <c r="K403" s="554"/>
      <c r="L403" s="554"/>
      <c r="M403" s="554"/>
      <c r="N403" s="168" t="s">
        <v>134</v>
      </c>
      <c r="O403" s="623"/>
      <c r="P403" s="624"/>
      <c r="Q403" s="584"/>
      <c r="R403" s="634"/>
      <c r="S403" s="633"/>
      <c r="T403" s="627">
        <f>I415-S416-P415</f>
        <v>0</v>
      </c>
      <c r="U403" s="628"/>
    </row>
    <row r="404" spans="1:21" ht="35.25" customHeight="1">
      <c r="A404" s="568"/>
      <c r="B404" s="572"/>
      <c r="C404" s="572"/>
      <c r="D404" s="572"/>
      <c r="E404" s="572"/>
      <c r="F404" s="572"/>
      <c r="G404" s="139"/>
      <c r="H404" s="169">
        <f aca="true" t="shared" si="37" ref="H404:M404">IF(H405&gt;0,1,0)</f>
        <v>0</v>
      </c>
      <c r="I404" s="170">
        <f t="shared" si="37"/>
        <v>0</v>
      </c>
      <c r="J404" s="171">
        <f t="shared" si="37"/>
        <v>0</v>
      </c>
      <c r="K404" s="172">
        <f t="shared" si="37"/>
        <v>0</v>
      </c>
      <c r="L404" s="173">
        <f t="shared" si="37"/>
        <v>0</v>
      </c>
      <c r="M404" s="173">
        <f t="shared" si="37"/>
        <v>0</v>
      </c>
      <c r="N404" s="174">
        <v>0</v>
      </c>
      <c r="O404" s="175">
        <f>IF(O405&gt;0,1,0)</f>
        <v>0</v>
      </c>
      <c r="P404" s="171">
        <f>IF(P405&gt;0,1,0)</f>
        <v>0</v>
      </c>
      <c r="Q404" s="173">
        <f>IF(Q405&gt;0,1,0)</f>
        <v>0</v>
      </c>
      <c r="R404" s="173">
        <f>IF(R405&gt;0,1,0)</f>
        <v>0</v>
      </c>
      <c r="S404" s="176">
        <f>IF(S405&gt;0,1,0)</f>
        <v>0</v>
      </c>
      <c r="T404" s="627"/>
      <c r="U404" s="628"/>
    </row>
    <row r="405" spans="1:21" ht="36" customHeight="1" thickBot="1">
      <c r="A405" s="568"/>
      <c r="B405" s="177">
        <v>1</v>
      </c>
      <c r="C405" s="177">
        <v>0.8</v>
      </c>
      <c r="D405" s="572"/>
      <c r="E405" s="572"/>
      <c r="F405" s="177">
        <v>0.7</v>
      </c>
      <c r="G405" s="178">
        <v>0</v>
      </c>
      <c r="H405" s="179">
        <f>IF(E402&gt;0,ROUND((C416*E401),2)*E402,0)+IF(F402&gt;0,C416*F402,0)</f>
        <v>0</v>
      </c>
      <c r="I405" s="180"/>
      <c r="J405" s="181">
        <f>IF(G398&gt;0,IF(B398&gt;=G398,E411-((E411/22)*F411),(E411-(ROUND(((E411/22)*(((G398-B398)/8*B423)+F411)),2))))-IF(B398=0,0,0)-IF(B398&lt;=F411*8*B423,E411-ROUND(((E411/22)*(((G398-B398)/8*B423)+F411)),2),0),0)</f>
        <v>0</v>
      </c>
      <c r="K405" s="182">
        <f>G414-R405</f>
        <v>0</v>
      </c>
      <c r="L405" s="182">
        <f>IF(F416&gt;0,IF(F416&lt;190,F416,190),0)</f>
        <v>0</v>
      </c>
      <c r="M405" s="182"/>
      <c r="N405" s="183">
        <f>IF(N404&gt;0,L$3*B423*N404,0)</f>
        <v>0</v>
      </c>
      <c r="O405" s="184">
        <f>IF(C423&lt;=$P$2,IF(G416&gt;0,IF(G416&lt;500,G416,500),0),0)</f>
        <v>0</v>
      </c>
      <c r="P405" s="181">
        <f>IF(G411&gt;0,ROUND(((G411/G398)*B398),2),0)+G410</f>
        <v>0</v>
      </c>
      <c r="Q405" s="182">
        <f>IF(F409&gt;0,ROUND((F409/G398)*B398,2),0)</f>
        <v>0</v>
      </c>
      <c r="R405" s="182">
        <f>IF(G414&gt;0,IF(G414&lt;380,G414,380),0)</f>
        <v>0</v>
      </c>
      <c r="S405" s="185"/>
      <c r="T405" s="627"/>
      <c r="U405" s="628"/>
    </row>
    <row r="406" spans="1:21" ht="60" customHeight="1" thickBot="1" thickTop="1">
      <c r="A406" s="568"/>
      <c r="B406" s="137"/>
      <c r="C406" s="137"/>
      <c r="D406" s="137"/>
      <c r="E406" s="137"/>
      <c r="F406" s="137"/>
      <c r="G406" s="139">
        <f>IF(L394+L407-Q405-P405-K415-J405&gt;$F$1,IF(G405&gt;0,IF(((H415-S416-L421-L415-J405-K405-L405-O418+P423)*(100%-G405))&gt;=(($F$1*B423)-IF(ROUND(((ROUND(($F$1-C423),0.1)*E423)-D423),0.1)&gt;0,ROUND(((ROUND(($F$1-C423),0.1)*E423)-D423),0.1),0)),((H415-S416-L421-L415-J405-K405-L405-O418+P423)*G405)))+IF(G405&gt;0,IF(((H415-S416-L421-L415-J405-K405-L405-O418+P423)*(100%-G405))&lt;(($F$1*B423)-IF(ROUND(((ROUND(($F$1-C423),0.1)*E423)-D423),0.1)&gt;0,ROUND(((ROUND(($F$1-C423),0.1)*E423)-D423),0.1),0)),(H415-S416-L421-L415-J405-K405-L405-O418+P423)-(($F$1*B423)-IF(ROUND(((ROUND(($F$1-C423),0.1)*E423)-D423),0.1)&gt;0,ROUND(((ROUND(($F$1-C423),0.1)*E423)-D423),0.1),0)))),0)</f>
        <v>0</v>
      </c>
      <c r="H406" s="629" t="s">
        <v>135</v>
      </c>
      <c r="I406" s="630"/>
      <c r="J406" s="630"/>
      <c r="K406" s="575">
        <f>L407+P406</f>
        <v>0</v>
      </c>
      <c r="L406" s="576"/>
      <c r="M406" s="631" t="s">
        <v>136</v>
      </c>
      <c r="N406" s="632"/>
      <c r="O406" s="632"/>
      <c r="P406" s="575">
        <f>P407+S407</f>
        <v>0</v>
      </c>
      <c r="Q406" s="575"/>
      <c r="R406" s="186"/>
      <c r="S406" s="186"/>
      <c r="T406" s="187">
        <v>200</v>
      </c>
      <c r="U406" s="188">
        <f>ROUND(((1400/'[1]Li-pł zlec'!$V$1)*'[1]LI-PŁ-prac'!T406),2)+((H405+L407)-ROUND(((H405+L407)*$N$3),2))+O408+P408+P410+R410+S410-O415-L415-M415</f>
        <v>1750</v>
      </c>
    </row>
    <row r="407" spans="1:21" ht="119.25" customHeight="1">
      <c r="A407" s="568"/>
      <c r="B407" s="189" t="s">
        <v>137</v>
      </c>
      <c r="C407" s="190" t="s">
        <v>138</v>
      </c>
      <c r="D407" s="595" t="s">
        <v>139</v>
      </c>
      <c r="E407" s="649" t="s">
        <v>307</v>
      </c>
      <c r="F407" s="191" t="s">
        <v>140</v>
      </c>
      <c r="G407" s="192" t="s">
        <v>141</v>
      </c>
      <c r="H407" s="651" t="s">
        <v>142</v>
      </c>
      <c r="I407" s="652"/>
      <c r="J407" s="652"/>
      <c r="K407" s="652"/>
      <c r="L407" s="193">
        <f>SUM(H410:L410)</f>
        <v>0</v>
      </c>
      <c r="M407" s="625"/>
      <c r="N407" s="626"/>
      <c r="O407" s="626"/>
      <c r="P407" s="193"/>
      <c r="Q407" s="635"/>
      <c r="R407" s="636"/>
      <c r="S407" s="194"/>
      <c r="T407" s="637"/>
      <c r="U407" s="638"/>
    </row>
    <row r="408" spans="1:21" ht="141" customHeight="1" thickBot="1">
      <c r="A408" s="568"/>
      <c r="B408" s="195" t="s">
        <v>143</v>
      </c>
      <c r="C408" s="196"/>
      <c r="D408" s="554"/>
      <c r="E408" s="650"/>
      <c r="F408" s="197">
        <f>IF(F409&gt;0,1,0)</f>
        <v>0</v>
      </c>
      <c r="G408" s="155" t="s">
        <v>308</v>
      </c>
      <c r="H408" s="198" t="s">
        <v>144</v>
      </c>
      <c r="I408" s="199" t="s">
        <v>145</v>
      </c>
      <c r="J408" s="199" t="s">
        <v>146</v>
      </c>
      <c r="K408" s="199" t="s">
        <v>147</v>
      </c>
      <c r="L408" s="200" t="s">
        <v>148</v>
      </c>
      <c r="M408" s="201"/>
      <c r="N408" s="202"/>
      <c r="O408" s="203"/>
      <c r="P408" s="204"/>
      <c r="Q408" s="205"/>
      <c r="R408" s="206"/>
      <c r="S408" s="207"/>
      <c r="T408" s="637"/>
      <c r="U408" s="638"/>
    </row>
    <row r="409" spans="1:21" ht="51.75" customHeight="1">
      <c r="A409" s="568"/>
      <c r="B409" s="208"/>
      <c r="C409" s="595" t="s">
        <v>149</v>
      </c>
      <c r="D409" s="554"/>
      <c r="E409" s="209"/>
      <c r="F409" s="210">
        <f>IF(T395&gt;0,$H$3,0)</f>
        <v>0</v>
      </c>
      <c r="G409" s="211">
        <f>IF(G410+G411&gt;0,1,0)</f>
        <v>0</v>
      </c>
      <c r="H409" s="212">
        <f>IF(H410&gt;0,1,0)</f>
        <v>0</v>
      </c>
      <c r="I409" s="213">
        <f>IF(I410&gt;0,1,0)</f>
        <v>0</v>
      </c>
      <c r="J409" s="213">
        <f>IF(J410&gt;0,1,0)</f>
        <v>0</v>
      </c>
      <c r="K409" s="213">
        <f>IF(K410&gt;0,1,0)</f>
        <v>0</v>
      </c>
      <c r="L409" s="214">
        <f>IF(L410&gt;0,1,0)</f>
        <v>0</v>
      </c>
      <c r="M409" s="639" t="s">
        <v>150</v>
      </c>
      <c r="N409" s="640"/>
      <c r="O409" s="641"/>
      <c r="P409" s="642"/>
      <c r="Q409" s="215"/>
      <c r="R409" s="216"/>
      <c r="S409" s="217"/>
      <c r="T409" s="643"/>
      <c r="U409" s="644"/>
    </row>
    <row r="410" spans="1:21" ht="60.75" customHeight="1" thickBot="1">
      <c r="A410" s="568"/>
      <c r="B410" s="218" t="s">
        <v>151</v>
      </c>
      <c r="C410" s="554"/>
      <c r="D410" s="131"/>
      <c r="E410" s="219">
        <f>IF(E409&gt;0,C$3,0)</f>
        <v>0</v>
      </c>
      <c r="F410" s="220" t="s">
        <v>152</v>
      </c>
      <c r="G410" s="221"/>
      <c r="H410" s="179">
        <f>IF(G402&gt;0,(ROUND((C416*G401),2)*G402),0)+IF(B406&gt;0,(ROUND((C416*B405),2)*B406),0)+IF(F406&gt;0,(ROUND((C416*F405),2)*F406),0)</f>
        <v>0</v>
      </c>
      <c r="I410" s="182">
        <f>IF(E406&gt;0,(ROUND(((D416*D415)/30),2)*E406),0)</f>
        <v>0</v>
      </c>
      <c r="J410" s="182">
        <f>IF(C406&gt;0,(ROUND(C416*C405,2)*C406),0)</f>
        <v>0</v>
      </c>
      <c r="K410" s="182">
        <f>IF(D406&gt;0,(ROUND(C416,2)*D406),0)</f>
        <v>0</v>
      </c>
      <c r="L410" s="222">
        <f>E416</f>
        <v>0</v>
      </c>
      <c r="M410" s="645">
        <f>Q395+M400+L407</f>
        <v>0</v>
      </c>
      <c r="N410" s="646"/>
      <c r="O410" s="202"/>
      <c r="P410" s="223"/>
      <c r="Q410" s="224"/>
      <c r="R410" s="182"/>
      <c r="S410" s="185"/>
      <c r="T410" s="695" t="s">
        <v>153</v>
      </c>
      <c r="U410" s="696"/>
    </row>
    <row r="411" spans="1:21" ht="41.25" customHeight="1" thickTop="1">
      <c r="A411" s="568"/>
      <c r="B411" s="208"/>
      <c r="C411" s="208"/>
      <c r="D411" s="208"/>
      <c r="E411" s="203">
        <f>ROUND((E409*E410),2)</f>
        <v>0</v>
      </c>
      <c r="F411" s="225"/>
      <c r="G411" s="226"/>
      <c r="H411" s="653" t="s">
        <v>309</v>
      </c>
      <c r="I411" s="655" t="s">
        <v>154</v>
      </c>
      <c r="J411" s="657" t="s">
        <v>155</v>
      </c>
      <c r="K411" s="660" t="s">
        <v>156</v>
      </c>
      <c r="L411" s="661" t="s">
        <v>157</v>
      </c>
      <c r="M411" s="661"/>
      <c r="N411" s="661"/>
      <c r="O411" s="662"/>
      <c r="P411" s="663" t="s">
        <v>158</v>
      </c>
      <c r="Q411" s="227" t="s">
        <v>159</v>
      </c>
      <c r="R411" s="228" t="s">
        <v>160</v>
      </c>
      <c r="S411" s="229" t="s">
        <v>161</v>
      </c>
      <c r="T411" s="695" t="s">
        <v>162</v>
      </c>
      <c r="U411" s="696"/>
    </row>
    <row r="412" spans="1:21" ht="92.25" customHeight="1">
      <c r="A412" s="568"/>
      <c r="B412" s="664" t="s">
        <v>163</v>
      </c>
      <c r="C412" s="117" t="s">
        <v>164</v>
      </c>
      <c r="D412" s="337" t="s">
        <v>165</v>
      </c>
      <c r="E412" s="146" t="s">
        <v>166</v>
      </c>
      <c r="F412" s="697" t="s">
        <v>167</v>
      </c>
      <c r="G412" s="191" t="s">
        <v>168</v>
      </c>
      <c r="H412" s="654"/>
      <c r="I412" s="656"/>
      <c r="J412" s="658"/>
      <c r="K412" s="584"/>
      <c r="L412" s="232" t="s">
        <v>169</v>
      </c>
      <c r="M412" s="123" t="s">
        <v>170</v>
      </c>
      <c r="N412" s="136" t="s">
        <v>171</v>
      </c>
      <c r="O412" s="136" t="s">
        <v>172</v>
      </c>
      <c r="P412" s="556"/>
      <c r="Q412" s="233">
        <f>ROUND(IF(S417&gt;$N$4,IF(S417&lt;=$O$4,7866.25+((S417-$N$4)*$O$3)),0)+IF(S417&gt;$O$4,20177.65+((S417-$O$4)*$P$3),0)+IF(S417&lt;=$N$4,IF(S417*E423&gt;0,S417*E423),0),0.1)</f>
        <v>0</v>
      </c>
      <c r="R412" s="234">
        <f>IF(L407&gt;0,ROUND((ROUND((L407),0.1)*E423),0.1),0)</f>
        <v>0</v>
      </c>
      <c r="S412" s="235">
        <f>IF(Q412+R412-D423&gt;=0,Q412+R412-D423,0)+IF(D423-Q412+R412&gt;0&lt;D423+0.001,Q412+R412-D423,0)</f>
        <v>0</v>
      </c>
      <c r="T412" s="695" t="s">
        <v>173</v>
      </c>
      <c r="U412" s="696"/>
    </row>
    <row r="413" spans="1:21" ht="36.75" customHeight="1">
      <c r="A413" s="568"/>
      <c r="B413" s="665"/>
      <c r="C413" s="230"/>
      <c r="D413" s="236"/>
      <c r="E413" s="237"/>
      <c r="F413" s="698"/>
      <c r="G413" s="239" t="s">
        <v>310</v>
      </c>
      <c r="H413" s="654"/>
      <c r="I413" s="656"/>
      <c r="J413" s="658"/>
      <c r="K413" s="584"/>
      <c r="L413" s="123"/>
      <c r="M413" s="240"/>
      <c r="N413" s="241"/>
      <c r="O413" s="136"/>
      <c r="P413" s="556"/>
      <c r="Q413" s="668" t="s">
        <v>174</v>
      </c>
      <c r="R413" s="669"/>
      <c r="S413" s="235">
        <f>ROUND(IF(S412&gt;=L423,S412-L423,0),0.1)</f>
        <v>0</v>
      </c>
      <c r="T413" s="338" t="str">
        <f>L$8</f>
        <v>styczeń</v>
      </c>
      <c r="U413" s="339" t="str">
        <f>N$8</f>
        <v>2011 r.</v>
      </c>
    </row>
    <row r="414" spans="1:21" ht="48" customHeight="1">
      <c r="A414" s="568"/>
      <c r="B414" s="244">
        <f>IF(B415=0,IF(T395&gt;0,IF(T400&gt;0,IF(T400="I kl",O$1)+IF(T400="II kl",P$1)+IF(T400="III kl",Q$1),ROUND((E$1*B423),2)),0),0)</f>
        <v>0</v>
      </c>
      <c r="C414" s="118" t="s">
        <v>175</v>
      </c>
      <c r="D414" s="123" t="s">
        <v>176</v>
      </c>
      <c r="E414" s="245"/>
      <c r="F414" s="698"/>
      <c r="G414" s="139"/>
      <c r="H414" s="246">
        <f>IF(H415&gt;0,1,0)</f>
        <v>0</v>
      </c>
      <c r="I414" s="247">
        <f>IF(I415&gt;0,1,0)</f>
        <v>0</v>
      </c>
      <c r="J414" s="658"/>
      <c r="K414" s="248">
        <f aca="true" t="shared" si="38" ref="K414:P414">IF(K415&gt;0,1,0)</f>
        <v>0</v>
      </c>
      <c r="L414" s="249">
        <f t="shared" si="38"/>
        <v>0</v>
      </c>
      <c r="M414" s="250">
        <f t="shared" si="38"/>
        <v>0</v>
      </c>
      <c r="N414" s="249">
        <f t="shared" si="38"/>
        <v>0</v>
      </c>
      <c r="O414" s="251">
        <f t="shared" si="38"/>
        <v>0</v>
      </c>
      <c r="P414" s="252">
        <f t="shared" si="38"/>
        <v>0</v>
      </c>
      <c r="Q414" s="670" t="s">
        <v>177</v>
      </c>
      <c r="R414" s="253" t="s">
        <v>178</v>
      </c>
      <c r="S414" s="235">
        <v>0</v>
      </c>
      <c r="T414" s="647" t="s">
        <v>179</v>
      </c>
      <c r="U414" s="648"/>
    </row>
    <row r="415" spans="1:21" ht="57.75" customHeight="1" thickBot="1">
      <c r="A415" s="568"/>
      <c r="B415" s="254"/>
      <c r="C415" s="230"/>
      <c r="D415" s="177">
        <v>0.9</v>
      </c>
      <c r="E415" s="255">
        <f>IF(E413&gt;0,$U$1-E414,0)</f>
        <v>0</v>
      </c>
      <c r="F415" s="238">
        <f>IF(F416&gt;0,1,0)</f>
        <v>0</v>
      </c>
      <c r="G415" s="256" t="s">
        <v>180</v>
      </c>
      <c r="H415" s="257">
        <f>P394+L407-P423</f>
        <v>0</v>
      </c>
      <c r="I415" s="233">
        <f>L394+K406</f>
        <v>0</v>
      </c>
      <c r="J415" s="659"/>
      <c r="K415" s="244">
        <f>S399+K405+L405+O405+R405+O418+L421-N415</f>
        <v>0</v>
      </c>
      <c r="L415" s="244"/>
      <c r="M415" s="244">
        <f>G404+IF(G406&gt;0,G406,0)</f>
        <v>0</v>
      </c>
      <c r="N415" s="244">
        <f>L421-L423</f>
        <v>0</v>
      </c>
      <c r="O415" s="244"/>
      <c r="P415" s="258">
        <f>SUM(K415:O415)</f>
        <v>0</v>
      </c>
      <c r="Q415" s="671"/>
      <c r="R415" s="259" t="s">
        <v>181</v>
      </c>
      <c r="S415" s="235">
        <v>0</v>
      </c>
      <c r="T415" s="647" t="s">
        <v>182</v>
      </c>
      <c r="U415" s="648"/>
    </row>
    <row r="416" spans="1:21" ht="45.75" customHeight="1" thickBot="1" thickTop="1">
      <c r="A416" s="569"/>
      <c r="B416" s="244">
        <f>IF(B415=0,ROUND(IF(B414&gt;0,CEILING((B414/G398),0.01),B415),2),B415)</f>
        <v>0</v>
      </c>
      <c r="C416" s="244">
        <f>IF(T395&gt;0,(IF(C413&gt;0,ROUND(((C413-(C413*(B419+C419+D419)))/30),2),0)+IF(C415&gt;0,ROUND((C415/30),2),0))+(IF(IF(C413&gt;0,ROUND(((C413-(C413*(B419+C419+D419)))/30),2),0)+IF(C415&gt;0,ROUND((C415/30),2),0)&lt;ROUND((($F$1*B423)/30),2),(IF(C413+C415&gt;0,ROUND((($F$1*B423)/30),2)-(IF(C413&gt;0,ROUND(((C413-(C413*(B419+C419+D419)))/30),2),0)+IF(C415&gt;0,ROUND((C415/30),2),0)))),0)),0)</f>
        <v>0</v>
      </c>
      <c r="D416" s="244"/>
      <c r="E416" s="244">
        <f>IF(E415&gt;0,IF(ROUND(E413-((E413/30)*E414),2)-H418+O418&gt;0,ROUND(E413-((E413/30)*E414),2)-H418+O418,0),0)</f>
        <v>0</v>
      </c>
      <c r="F416" s="137"/>
      <c r="G416" s="139"/>
      <c r="H416" s="672" t="s">
        <v>183</v>
      </c>
      <c r="I416" s="673"/>
      <c r="J416" s="673"/>
      <c r="K416" s="673"/>
      <c r="L416" s="673"/>
      <c r="M416" s="674" t="s">
        <v>184</v>
      </c>
      <c r="N416" s="675"/>
      <c r="O416" s="260" t="s">
        <v>185</v>
      </c>
      <c r="P416" s="261" t="s">
        <v>186</v>
      </c>
      <c r="Q416" s="676" t="s">
        <v>187</v>
      </c>
      <c r="R416" s="677"/>
      <c r="S416" s="262">
        <f>ROUND((IF(S413-S414&gt;=0,S413-S414,0)+S415),0.1)</f>
        <v>0</v>
      </c>
      <c r="T416" s="263" t="str">
        <f>L$8</f>
        <v>styczeń</v>
      </c>
      <c r="U416" s="264" t="str">
        <f>N$8</f>
        <v>2011 r.</v>
      </c>
    </row>
    <row r="417" spans="1:21" ht="69.75" customHeight="1" thickBot="1" thickTop="1">
      <c r="A417" s="568"/>
      <c r="B417" s="699" t="s">
        <v>188</v>
      </c>
      <c r="C417" s="700"/>
      <c r="D417" s="700"/>
      <c r="E417" s="701"/>
      <c r="F417" s="265" t="s">
        <v>189</v>
      </c>
      <c r="G417" s="266" t="s">
        <v>190</v>
      </c>
      <c r="H417" s="267" t="s">
        <v>191</v>
      </c>
      <c r="I417" s="268" t="s">
        <v>192</v>
      </c>
      <c r="J417" s="269" t="s">
        <v>193</v>
      </c>
      <c r="K417" s="238" t="s">
        <v>194</v>
      </c>
      <c r="L417" s="270" t="s">
        <v>195</v>
      </c>
      <c r="M417" s="198" t="s">
        <v>196</v>
      </c>
      <c r="N417" s="271" t="s">
        <v>197</v>
      </c>
      <c r="O417" s="294" t="s">
        <v>198</v>
      </c>
      <c r="P417" s="273" t="s">
        <v>199</v>
      </c>
      <c r="Q417" s="340" t="s">
        <v>200</v>
      </c>
      <c r="R417" s="275" t="s">
        <v>201</v>
      </c>
      <c r="S417" s="276">
        <f>IF(ROUND((P394-P423-C423),0.1)&gt;0,ROUND((P394-P423-C423),0.1),0)</f>
        <v>0</v>
      </c>
      <c r="T417" s="277"/>
      <c r="U417" s="278"/>
    </row>
    <row r="418" spans="1:21" ht="81" customHeight="1" thickTop="1">
      <c r="A418" s="568"/>
      <c r="B418" s="279" t="s">
        <v>202</v>
      </c>
      <c r="C418" s="279" t="s">
        <v>203</v>
      </c>
      <c r="D418" s="279" t="s">
        <v>204</v>
      </c>
      <c r="E418" s="279" t="s">
        <v>205</v>
      </c>
      <c r="F418" s="279" t="s">
        <v>206</v>
      </c>
      <c r="G418" s="280">
        <f>ROUND((H418*G420),2)</f>
        <v>0</v>
      </c>
      <c r="H418" s="281">
        <f>Q395+O405</f>
        <v>0</v>
      </c>
      <c r="I418" s="282">
        <f>Q395+O405</f>
        <v>0</v>
      </c>
      <c r="J418" s="282">
        <f>Q395+O405</f>
        <v>0</v>
      </c>
      <c r="K418" s="282">
        <f>Q395+O405</f>
        <v>0</v>
      </c>
      <c r="L418" s="283">
        <f>Q395+H405+I405-O418+O405</f>
        <v>0</v>
      </c>
      <c r="M418" s="284">
        <f>IF(D413&gt;0,IF(D413&lt;$U$1,ROUND((($E$1/$U$1)*D413),2),$E$1))+IF(K410&gt;0,K410,0)</f>
        <v>0</v>
      </c>
      <c r="N418" s="285">
        <f>M418</f>
        <v>0</v>
      </c>
      <c r="O418" s="286">
        <f>SUM(H421:J421)</f>
        <v>0</v>
      </c>
      <c r="P418" s="287">
        <f>IF(P419&gt;0,1,0)</f>
        <v>0</v>
      </c>
      <c r="Q418" s="288">
        <f>ROUND((H418-O405-P423+H405+I405)*$R$3,2)</f>
        <v>0</v>
      </c>
      <c r="R418" s="681" t="s">
        <v>207</v>
      </c>
      <c r="S418" s="683" t="s">
        <v>311</v>
      </c>
      <c r="T418" s="289"/>
      <c r="U418" s="278"/>
    </row>
    <row r="419" spans="1:21" ht="38.25" customHeight="1">
      <c r="A419" s="568"/>
      <c r="B419" s="158">
        <f>IF(H418&gt;0,B$2,0)</f>
        <v>0</v>
      </c>
      <c r="C419" s="158">
        <f>IF(I418&gt;0,H$4,0)</f>
        <v>0</v>
      </c>
      <c r="D419" s="158">
        <f>IF(J418&gt;0,F$2,0)</f>
        <v>0</v>
      </c>
      <c r="E419" s="158" t="s">
        <v>208</v>
      </c>
      <c r="F419" s="290" t="s">
        <v>209</v>
      </c>
      <c r="G419" s="291">
        <v>0</v>
      </c>
      <c r="H419" s="685" t="s">
        <v>210</v>
      </c>
      <c r="I419" s="686"/>
      <c r="J419" s="686"/>
      <c r="K419" s="686"/>
      <c r="L419" s="686"/>
      <c r="M419" s="292" t="s">
        <v>211</v>
      </c>
      <c r="N419" s="293" t="s">
        <v>212</v>
      </c>
      <c r="O419" s="294" t="s">
        <v>213</v>
      </c>
      <c r="P419" s="52">
        <f>IF(I418&lt;$E$1,IF(B423=1,IF(T400=0,ROUND((I418*$L$2),2),0),0),ROUND((I418*$L$2),2))</f>
        <v>0</v>
      </c>
      <c r="Q419" s="295" t="s">
        <v>214</v>
      </c>
      <c r="R419" s="682"/>
      <c r="S419" s="684"/>
      <c r="T419" s="289"/>
      <c r="U419" s="278"/>
    </row>
    <row r="420" spans="1:21" ht="42.75" customHeight="1" thickBot="1">
      <c r="A420" s="568"/>
      <c r="B420" s="158">
        <f>IF(H418&gt;0,B$2,0)</f>
        <v>0</v>
      </c>
      <c r="C420" s="158">
        <f>IF(I418&gt;0,D$2,0)</f>
        <v>0</v>
      </c>
      <c r="D420" s="158" t="s">
        <v>208</v>
      </c>
      <c r="E420" s="158">
        <f>IF(K418&gt;0,H$2,0)</f>
        <v>0</v>
      </c>
      <c r="F420" s="158">
        <f>IF(L418&gt;0,J$2,0)</f>
        <v>0</v>
      </c>
      <c r="G420" s="158">
        <f>IF(G419&gt;0,L$1,0)</f>
        <v>0</v>
      </c>
      <c r="H420" s="296" t="s">
        <v>215</v>
      </c>
      <c r="I420" s="297" t="s">
        <v>215</v>
      </c>
      <c r="J420" s="297" t="s">
        <v>215</v>
      </c>
      <c r="K420" s="298" t="s">
        <v>209</v>
      </c>
      <c r="L420" s="299" t="s">
        <v>215</v>
      </c>
      <c r="M420" s="300">
        <f>ROUND(M418*(B$2+B$2),2)</f>
        <v>0</v>
      </c>
      <c r="N420" s="301">
        <f>ROUND(N418*(D$2+H$4),2)</f>
        <v>0</v>
      </c>
      <c r="O420" s="302">
        <f>H423+I423+K423+G418</f>
        <v>0</v>
      </c>
      <c r="P420" s="303" t="s">
        <v>216</v>
      </c>
      <c r="Q420" s="304">
        <f>ROUND((L418*J$2),2)</f>
        <v>0</v>
      </c>
      <c r="R420" s="305" t="s">
        <v>217</v>
      </c>
      <c r="S420" s="684"/>
      <c r="T420" s="289"/>
      <c r="U420" s="278"/>
    </row>
    <row r="421" spans="1:21" ht="53.25" customHeight="1" thickBot="1" thickTop="1">
      <c r="A421" s="568"/>
      <c r="B421" s="141">
        <f>IF(B419+B420&gt;0,1,0)</f>
        <v>0</v>
      </c>
      <c r="C421" s="141">
        <f>IF(C419+C420&gt;0,1,0)</f>
        <v>0</v>
      </c>
      <c r="D421" s="141">
        <f>IF(D419&gt;0,1,0)</f>
        <v>0</v>
      </c>
      <c r="E421" s="141">
        <f>IF(E420&gt;0,1,0)</f>
        <v>0</v>
      </c>
      <c r="F421" s="141">
        <f>IF(F420&gt;0,1,0)</f>
        <v>0</v>
      </c>
      <c r="G421" s="141">
        <f>IF(G420&gt;0,1,0)</f>
        <v>0</v>
      </c>
      <c r="H421" s="306">
        <f>ROUND(H418*B419,2)</f>
        <v>0</v>
      </c>
      <c r="I421" s="307">
        <f>ROUND(I418*C419,2)</f>
        <v>0</v>
      </c>
      <c r="J421" s="307">
        <f>ROUND(J418*D419,2)</f>
        <v>0</v>
      </c>
      <c r="K421" s="244" t="s">
        <v>209</v>
      </c>
      <c r="L421" s="307">
        <f>IF(S412&gt;=ROUND(L418*F420,2),ROUND(L418*F420,2),S412)</f>
        <v>0</v>
      </c>
      <c r="M421" s="687" t="s">
        <v>218</v>
      </c>
      <c r="N421" s="688"/>
      <c r="O421" s="689" t="s">
        <v>219</v>
      </c>
      <c r="P421" s="308">
        <f>IF(P422&gt;0,1,0)</f>
        <v>0</v>
      </c>
      <c r="Q421" s="309" t="s">
        <v>220</v>
      </c>
      <c r="R421" s="310">
        <f>IF(B398=G398,H399+I399+J399+L399+O399+R399+IF(K399&gt;0,ROUND((K399/K397),2),0),0)+IF(B398&lt;G398,IF(B398&gt;0,ROUND((((H399+J399)/B398)*(G398-B411)),2)+IF(K399&gt;0,ROUND((K399/K397),2),0)+I399+L399+O399+R399,0),0)</f>
        <v>0</v>
      </c>
      <c r="S421" s="235">
        <f>IF(S413-S414&lt;0,S414-S413,0)</f>
        <v>0</v>
      </c>
      <c r="T421" s="289"/>
      <c r="U421" s="278"/>
    </row>
    <row r="422" spans="1:22" ht="63" customHeight="1" thickBot="1" thickTop="1">
      <c r="A422" s="568"/>
      <c r="B422" s="311" t="s">
        <v>221</v>
      </c>
      <c r="C422" s="311" t="s">
        <v>222</v>
      </c>
      <c r="D422" s="311" t="s">
        <v>34</v>
      </c>
      <c r="E422" s="146" t="s">
        <v>223</v>
      </c>
      <c r="F422" s="312" t="s">
        <v>224</v>
      </c>
      <c r="G422" s="139">
        <f>IF(Q418&gt;Q412,Q418-Q412,0)</f>
        <v>0</v>
      </c>
      <c r="H422" s="313" t="s">
        <v>225</v>
      </c>
      <c r="I422" s="314" t="s">
        <v>225</v>
      </c>
      <c r="J422" s="298" t="s">
        <v>209</v>
      </c>
      <c r="K422" s="315" t="s">
        <v>225</v>
      </c>
      <c r="L422" s="316" t="s">
        <v>226</v>
      </c>
      <c r="M422" s="317" t="s">
        <v>227</v>
      </c>
      <c r="N422" s="318" t="s">
        <v>228</v>
      </c>
      <c r="O422" s="690"/>
      <c r="P422" s="319">
        <f>ROUND(N$2*H418,2)</f>
        <v>0</v>
      </c>
      <c r="Q422" s="320">
        <f>IF(D413&gt;0,$U$2,0)</f>
        <v>0</v>
      </c>
      <c r="R422" s="321" t="s">
        <v>229</v>
      </c>
      <c r="S422" s="322" t="s">
        <v>230</v>
      </c>
      <c r="T422" s="691" t="s">
        <v>231</v>
      </c>
      <c r="U422" s="702"/>
      <c r="V422" s="323">
        <f>IF(ISBLANK(AM394),0,IF(IF(AF409&gt;=AI$2,AI$2,AF409)&gt;0,IF(AF409&gt;=AI$2,AI$2,AF409),0))</f>
        <v>0</v>
      </c>
    </row>
    <row r="423" spans="1:22" ht="42" customHeight="1" thickBot="1" thickTop="1">
      <c r="A423" s="570"/>
      <c r="B423" s="324">
        <f>IF(ISBLANK(T395),0,1)</f>
        <v>0</v>
      </c>
      <c r="C423" s="324">
        <f>IF(ISBLANK(T395),0,IF(IF(M410&gt;=P$2,P$2,M410)&gt;0,IF(M410&gt;=P$2,P$2,M410),0))</f>
        <v>0</v>
      </c>
      <c r="D423" s="324">
        <f>IF(ISBLANK(T395),0,S$1)</f>
        <v>0</v>
      </c>
      <c r="E423" s="325">
        <f>IF(G398&gt;0,$N$3,0)</f>
        <v>0</v>
      </c>
      <c r="F423" s="326">
        <f>O418+O420+P419+P422+L421+S416</f>
        <v>0</v>
      </c>
      <c r="G423" s="327">
        <f>IF(G422&gt;0,1,0)</f>
        <v>0</v>
      </c>
      <c r="H423" s="328">
        <f>ROUND(H418*B419,2)</f>
        <v>0</v>
      </c>
      <c r="I423" s="329">
        <f>ROUND(I418*C420,2)</f>
        <v>0</v>
      </c>
      <c r="J423" s="182" t="s">
        <v>209</v>
      </c>
      <c r="K423" s="330">
        <f>ROUND(K418*E420,2)</f>
        <v>0</v>
      </c>
      <c r="L423" s="185">
        <f>IF(S412&gt;=ROUND((H418-O405-P423+H405+I405)*$R$3,2),ROUND((H418-O405-P423+H405+I405)*$R$3,2),S412)</f>
        <v>0</v>
      </c>
      <c r="M423" s="179">
        <f>O418+O420</f>
        <v>0</v>
      </c>
      <c r="N423" s="331">
        <f>M423+L421</f>
        <v>0</v>
      </c>
      <c r="O423" s="332">
        <f>SUM(M420:N420)</f>
        <v>0</v>
      </c>
      <c r="P423" s="333">
        <f>ROUND(Q395*B419,2)+ROUND(Q395*C419,2)+ROUND(Q395*D419,2)</f>
        <v>0</v>
      </c>
      <c r="Q423" s="334">
        <f>IF(D413&gt;0,ROUND(($U$2*J$2),2),0)</f>
        <v>0</v>
      </c>
      <c r="R423" s="335">
        <f>IF(B398&gt;=G398/2,IF(B398=G398,H399+I399+J399+L399+O399+P399+R399+IF(K399&gt;0,ROUND((K399/K397),2),0),ROUND((((H399+J399+L399)/B398)*(G398-B411)),2)+IF(K399&gt;0,ROUND((K399/K397),2),0)+I399+O399+P399+R399),0)</f>
        <v>0</v>
      </c>
      <c r="S423" s="336">
        <f>IF(P394-O418-S416-L421&gt;0,P394-O418-S416-L421,0)</f>
        <v>0</v>
      </c>
      <c r="T423" s="693" t="s">
        <v>232</v>
      </c>
      <c r="U423" s="703"/>
      <c r="V423" s="323">
        <f>IF(ISBLANK(AM395),0,IF(IF(AF410&gt;=AJ$2,AJ$2,AF410)&gt;0,IF(AF410&gt;=AJ$2,AJ$2,AF410),0))</f>
        <v>0</v>
      </c>
    </row>
    <row r="424" ht="24" customHeight="1" thickTop="1"/>
    <row r="425" spans="1:23" ht="33" customHeight="1" thickBot="1">
      <c r="A425" s="111" t="s">
        <v>72</v>
      </c>
      <c r="B425" s="112" t="s">
        <v>73</v>
      </c>
      <c r="C425" s="113"/>
      <c r="D425" s="113"/>
      <c r="E425" s="114"/>
      <c r="F425" s="553" t="s">
        <v>74</v>
      </c>
      <c r="G425" s="555" t="s">
        <v>75</v>
      </c>
      <c r="H425" s="557" t="s">
        <v>76</v>
      </c>
      <c r="I425" s="557"/>
      <c r="J425" s="558"/>
      <c r="K425" s="559"/>
      <c r="L425" s="560"/>
      <c r="M425" s="560"/>
      <c r="N425" s="560"/>
      <c r="O425" s="561"/>
      <c r="P425" s="559"/>
      <c r="Q425" s="560"/>
      <c r="R425" s="560"/>
      <c r="S425" s="560"/>
      <c r="T425" s="565" t="s">
        <v>77</v>
      </c>
      <c r="U425" s="566"/>
      <c r="V425" s="102"/>
      <c r="W425" s="115"/>
    </row>
    <row r="426" spans="1:23" ht="44.25" customHeight="1" thickBot="1" thickTop="1">
      <c r="A426" s="567">
        <f>A394+1</f>
        <v>14</v>
      </c>
      <c r="B426" s="571" t="s">
        <v>79</v>
      </c>
      <c r="C426" s="571" t="s">
        <v>80</v>
      </c>
      <c r="D426" s="573" t="s">
        <v>81</v>
      </c>
      <c r="E426" s="573"/>
      <c r="F426" s="554"/>
      <c r="G426" s="556"/>
      <c r="H426" s="574" t="s">
        <v>82</v>
      </c>
      <c r="I426" s="574"/>
      <c r="J426" s="574"/>
      <c r="K426" s="574"/>
      <c r="L426" s="575">
        <f>P426+S432</f>
        <v>0</v>
      </c>
      <c r="M426" s="576"/>
      <c r="N426" s="577" t="s">
        <v>83</v>
      </c>
      <c r="O426" s="578"/>
      <c r="P426" s="575">
        <f>Q427+M432</f>
        <v>0</v>
      </c>
      <c r="Q426" s="576"/>
      <c r="R426" s="119"/>
      <c r="S426" s="120"/>
      <c r="T426" s="121"/>
      <c r="U426" s="122"/>
      <c r="V426" s="102"/>
      <c r="W426" s="115"/>
    </row>
    <row r="427" spans="1:23" ht="36.75" customHeight="1">
      <c r="A427" s="568"/>
      <c r="B427" s="572"/>
      <c r="C427" s="572"/>
      <c r="D427" s="124" t="s">
        <v>85</v>
      </c>
      <c r="E427" s="124" t="s">
        <v>86</v>
      </c>
      <c r="F427" s="554"/>
      <c r="G427" s="556"/>
      <c r="H427" s="562" t="s">
        <v>87</v>
      </c>
      <c r="I427" s="563"/>
      <c r="J427" s="563"/>
      <c r="K427" s="563"/>
      <c r="L427" s="563"/>
      <c r="M427" s="563"/>
      <c r="N427" s="563"/>
      <c r="O427" s="563"/>
      <c r="P427" s="564"/>
      <c r="Q427" s="579">
        <f>SUM(H431:S431)</f>
        <v>0</v>
      </c>
      <c r="R427" s="580"/>
      <c r="S427" s="125"/>
      <c r="T427" s="581"/>
      <c r="U427" s="582"/>
      <c r="V427" s="102"/>
      <c r="W427" s="115"/>
    </row>
    <row r="428" spans="1:23" ht="38.25" customHeight="1">
      <c r="A428" s="568"/>
      <c r="B428" s="572"/>
      <c r="C428" s="126"/>
      <c r="D428" s="124" t="s">
        <v>89</v>
      </c>
      <c r="E428" s="124" t="s">
        <v>89</v>
      </c>
      <c r="F428" s="554"/>
      <c r="G428" s="127"/>
      <c r="H428" s="128" t="s">
        <v>90</v>
      </c>
      <c r="I428" s="129" t="s">
        <v>91</v>
      </c>
      <c r="J428" s="129" t="s">
        <v>92</v>
      </c>
      <c r="K428" s="130" t="s">
        <v>93</v>
      </c>
      <c r="L428" s="583" t="s">
        <v>94</v>
      </c>
      <c r="M428" s="583" t="s">
        <v>95</v>
      </c>
      <c r="N428" s="583" t="s">
        <v>96</v>
      </c>
      <c r="O428" s="585" t="s">
        <v>97</v>
      </c>
      <c r="P428" s="583" t="s">
        <v>98</v>
      </c>
      <c r="Q428" s="587" t="s">
        <v>99</v>
      </c>
      <c r="R428" s="589" t="s">
        <v>100</v>
      </c>
      <c r="S428" s="591" t="s">
        <v>101</v>
      </c>
      <c r="T428" s="581"/>
      <c r="U428" s="582"/>
      <c r="V428" s="102"/>
      <c r="W428" s="115"/>
    </row>
    <row r="429" spans="1:23" ht="30" customHeight="1">
      <c r="A429" s="568"/>
      <c r="B429" s="572"/>
      <c r="C429" s="131"/>
      <c r="D429" s="131"/>
      <c r="E429" s="131"/>
      <c r="F429" s="554"/>
      <c r="G429" s="127"/>
      <c r="H429" s="132" t="s">
        <v>103</v>
      </c>
      <c r="I429" s="133" t="s">
        <v>104</v>
      </c>
      <c r="J429" s="134">
        <v>0</v>
      </c>
      <c r="K429" s="135">
        <v>1</v>
      </c>
      <c r="L429" s="584"/>
      <c r="M429" s="584"/>
      <c r="N429" s="584"/>
      <c r="O429" s="586"/>
      <c r="P429" s="584"/>
      <c r="Q429" s="588"/>
      <c r="R429" s="590"/>
      <c r="S429" s="592"/>
      <c r="T429" s="581"/>
      <c r="U429" s="582"/>
      <c r="V429" s="102"/>
      <c r="W429" s="115"/>
    </row>
    <row r="430" spans="1:21" ht="51" customHeight="1">
      <c r="A430" s="568"/>
      <c r="B430" s="137">
        <f>G430</f>
        <v>0</v>
      </c>
      <c r="C430" s="137"/>
      <c r="D430" s="137"/>
      <c r="E430" s="138"/>
      <c r="F430" s="138"/>
      <c r="G430" s="139">
        <f>B$1*B455</f>
        <v>0</v>
      </c>
      <c r="H430" s="140">
        <f aca="true" t="shared" si="39" ref="H430:S430">IF(H431&gt;0,1,0)</f>
        <v>0</v>
      </c>
      <c r="I430" s="141">
        <f t="shared" si="39"/>
        <v>0</v>
      </c>
      <c r="J430" s="141">
        <f t="shared" si="39"/>
        <v>0</v>
      </c>
      <c r="K430" s="142">
        <f t="shared" si="39"/>
        <v>0</v>
      </c>
      <c r="L430" s="142">
        <f t="shared" si="39"/>
        <v>0</v>
      </c>
      <c r="M430" s="142">
        <f t="shared" si="39"/>
        <v>0</v>
      </c>
      <c r="N430" s="142">
        <f t="shared" si="39"/>
        <v>0</v>
      </c>
      <c r="O430" s="141">
        <f t="shared" si="39"/>
        <v>0</v>
      </c>
      <c r="P430" s="142">
        <f t="shared" si="39"/>
        <v>0</v>
      </c>
      <c r="Q430" s="142">
        <f t="shared" si="39"/>
        <v>0</v>
      </c>
      <c r="R430" s="143">
        <f t="shared" si="39"/>
        <v>0</v>
      </c>
      <c r="S430" s="144">
        <f t="shared" si="39"/>
        <v>0</v>
      </c>
      <c r="T430" s="593"/>
      <c r="U430" s="594"/>
    </row>
    <row r="431" spans="1:22" ht="49.5" customHeight="1" thickBot="1">
      <c r="A431" s="568"/>
      <c r="B431" s="595" t="s">
        <v>106</v>
      </c>
      <c r="C431" s="595" t="s">
        <v>107</v>
      </c>
      <c r="D431" s="596" t="s">
        <v>108</v>
      </c>
      <c r="E431" s="148" t="s">
        <v>109</v>
      </c>
      <c r="F431" s="149"/>
      <c r="G431" s="597" t="s">
        <v>110</v>
      </c>
      <c r="H431" s="150">
        <f>IF(B430+B434+B441+B443+C440+D434+F431&gt;0,IF(B446&gt;0,B446-(IF(E434+F434+G434+B438+C438+D438+E438+F438&gt;0,ROUND((B446/30)*IF(E434+F434+G434+B438+C438+D438+E438+F438&lt;31,E434+F434+G434+B438+C438+D438+E438+F438,30),2),0)+ROUND(((B446/G430)*(B434+B441+B443+C440+D434)),2)),0),0)+IF(B430&gt;G430,IF(B446&gt;0,(B430-G430)*B448,0),0)+IF(B447&gt;0,B447*B430,0)-IF(IF(B430+B434+B441+B443+C440+D434+F431&gt;0,IF(B446&gt;0,B446-(IF(E434+F434+G434+B438+C438+D438+E438+F438&gt;0,ROUND((B446/30)*IF(E434+F434+G434+B438+C438+D438+E438+F438&lt;31,E434+F434+G434+B438+C438+D438+E438+F438,30),2),0)+ROUND(((B446/G430)*(B434+B441+B443+C440+D434)),2)),0),0)&lt;0,IF(B430+B434+B441+B443+C440+D434+F431&gt;0,IF(B446&gt;0,B446-(IF(E434+F434+G434+B438+C438+D438+E438+F438&gt;0,ROUND((B446/30)*IF(E434+F434+G434+B438+C438+D438+E438+F438&lt;31,E434+F434+G434+B438+C438+D438+E438+F438,30),2),0)+ROUND(((B446/G430)*(B434+B441+B443+C440+D434)),2)),0),0),0)</f>
        <v>0</v>
      </c>
      <c r="I431" s="151">
        <f>ROUND(D430*ROUND(B448*150%,2)+E430*ROUND(B448*200%,2),2)</f>
        <v>0</v>
      </c>
      <c r="J431" s="151">
        <f>ROUND((J429*H431),2)</f>
        <v>0</v>
      </c>
      <c r="K431" s="151"/>
      <c r="L431" s="151">
        <f>IF(C430&gt;0,C430*ROUND(B448*U$3,2),0)+IF(U$3=0,IF(C430&gt;0,C430*ROUND(20%*ROUND(E$1/G430,2),2),0))</f>
        <v>0</v>
      </c>
      <c r="M431" s="151">
        <f>IF(B434&gt;0,ROUND((B434*C443),2),0)</f>
        <v>0</v>
      </c>
      <c r="N431" s="151">
        <f>IF(B430+D430+E430+F430&gt;0,ROUND((((H431+I431+J431+L431+O431)/(B430+D430+E430+F430))*D434),2),B448*D434)</f>
        <v>0</v>
      </c>
      <c r="O431" s="151">
        <f>ROUND((F430*B448),2)</f>
        <v>0</v>
      </c>
      <c r="P431" s="151">
        <f>IF(C434&gt;0,ROUND((D443/($I$1*8*B455)),2)*C434,0)</f>
        <v>0</v>
      </c>
      <c r="Q431" s="151"/>
      <c r="R431" s="152"/>
      <c r="S431" s="153">
        <f>IF(G448&gt;500,G448-500,0)+IF(F448&gt;190,F448-190,0)</f>
        <v>0</v>
      </c>
      <c r="T431" s="593"/>
      <c r="U431" s="594"/>
      <c r="V431" s="154"/>
    </row>
    <row r="432" spans="1:21" ht="57" customHeight="1">
      <c r="A432" s="568"/>
      <c r="B432" s="554"/>
      <c r="C432" s="554"/>
      <c r="D432" s="554"/>
      <c r="E432" s="599" t="s">
        <v>112</v>
      </c>
      <c r="F432" s="599"/>
      <c r="G432" s="598"/>
      <c r="H432" s="600" t="s">
        <v>113</v>
      </c>
      <c r="I432" s="601"/>
      <c r="J432" s="601"/>
      <c r="K432" s="601"/>
      <c r="L432" s="601"/>
      <c r="M432" s="602">
        <f>H437+I437+M433</f>
        <v>0</v>
      </c>
      <c r="N432" s="603"/>
      <c r="O432" s="604" t="s">
        <v>114</v>
      </c>
      <c r="P432" s="604"/>
      <c r="Q432" s="604"/>
      <c r="R432" s="604"/>
      <c r="S432" s="156">
        <f>S433+O437</f>
        <v>0</v>
      </c>
      <c r="T432" s="605"/>
      <c r="U432" s="606"/>
    </row>
    <row r="433" spans="1:21" ht="38.25" customHeight="1">
      <c r="A433" s="568"/>
      <c r="B433" s="157"/>
      <c r="C433" s="131"/>
      <c r="D433" s="131"/>
      <c r="E433" s="158">
        <v>0.8</v>
      </c>
      <c r="F433" s="158">
        <v>1</v>
      </c>
      <c r="G433" s="159">
        <v>0.8</v>
      </c>
      <c r="H433" s="607" t="s">
        <v>115</v>
      </c>
      <c r="I433" s="608"/>
      <c r="J433" s="609" t="s">
        <v>116</v>
      </c>
      <c r="K433" s="610"/>
      <c r="L433" s="610"/>
      <c r="M433" s="611">
        <f>SUM(J437:N437)</f>
        <v>0</v>
      </c>
      <c r="N433" s="612"/>
      <c r="O433" s="160" t="s">
        <v>117</v>
      </c>
      <c r="P433" s="613" t="s">
        <v>118</v>
      </c>
      <c r="Q433" s="614"/>
      <c r="R433" s="615"/>
      <c r="S433" s="161">
        <f>SUM(P437:S437)</f>
        <v>0</v>
      </c>
      <c r="T433" s="616"/>
      <c r="U433" s="617"/>
    </row>
    <row r="434" spans="1:21" ht="40.5" customHeight="1">
      <c r="A434" s="568"/>
      <c r="B434" s="137"/>
      <c r="C434" s="137"/>
      <c r="D434" s="137"/>
      <c r="E434" s="137"/>
      <c r="F434" s="137"/>
      <c r="G434" s="139"/>
      <c r="H434" s="618" t="s">
        <v>119</v>
      </c>
      <c r="I434" s="162"/>
      <c r="J434" s="620" t="s">
        <v>120</v>
      </c>
      <c r="K434" s="595" t="s">
        <v>121</v>
      </c>
      <c r="L434" s="595" t="s">
        <v>122</v>
      </c>
      <c r="M434" s="595" t="s">
        <v>123</v>
      </c>
      <c r="N434" s="163" t="s">
        <v>124</v>
      </c>
      <c r="O434" s="622" t="s">
        <v>125</v>
      </c>
      <c r="P434" s="624" t="s">
        <v>126</v>
      </c>
      <c r="Q434" s="584" t="s">
        <v>127</v>
      </c>
      <c r="R434" s="634" t="s">
        <v>128</v>
      </c>
      <c r="S434" s="633" t="s">
        <v>129</v>
      </c>
      <c r="T434" s="164"/>
      <c r="U434" s="165"/>
    </row>
    <row r="435" spans="1:21" ht="39.75" customHeight="1">
      <c r="A435" s="568"/>
      <c r="B435" s="571" t="s">
        <v>110</v>
      </c>
      <c r="C435" s="571" t="s">
        <v>130</v>
      </c>
      <c r="D435" s="571" t="s">
        <v>131</v>
      </c>
      <c r="E435" s="571" t="s">
        <v>132</v>
      </c>
      <c r="F435" s="571" t="s">
        <v>110</v>
      </c>
      <c r="G435" s="166" t="s">
        <v>133</v>
      </c>
      <c r="H435" s="619"/>
      <c r="I435" s="167"/>
      <c r="J435" s="621"/>
      <c r="K435" s="554"/>
      <c r="L435" s="554"/>
      <c r="M435" s="554"/>
      <c r="N435" s="168" t="s">
        <v>134</v>
      </c>
      <c r="O435" s="623"/>
      <c r="P435" s="624"/>
      <c r="Q435" s="584"/>
      <c r="R435" s="634"/>
      <c r="S435" s="633"/>
      <c r="T435" s="627">
        <f>I447-S448-P447</f>
        <v>0</v>
      </c>
      <c r="U435" s="628"/>
    </row>
    <row r="436" spans="1:21" ht="35.25" customHeight="1">
      <c r="A436" s="568"/>
      <c r="B436" s="572"/>
      <c r="C436" s="572"/>
      <c r="D436" s="572"/>
      <c r="E436" s="572"/>
      <c r="F436" s="572"/>
      <c r="G436" s="139"/>
      <c r="H436" s="169">
        <f aca="true" t="shared" si="40" ref="H436:M436">IF(H437&gt;0,1,0)</f>
        <v>0</v>
      </c>
      <c r="I436" s="170">
        <f t="shared" si="40"/>
        <v>0</v>
      </c>
      <c r="J436" s="171">
        <f t="shared" si="40"/>
        <v>0</v>
      </c>
      <c r="K436" s="172">
        <f t="shared" si="40"/>
        <v>0</v>
      </c>
      <c r="L436" s="173">
        <f t="shared" si="40"/>
        <v>0</v>
      </c>
      <c r="M436" s="173">
        <f t="shared" si="40"/>
        <v>0</v>
      </c>
      <c r="N436" s="174">
        <v>0</v>
      </c>
      <c r="O436" s="175">
        <f>IF(O437&gt;0,1,0)</f>
        <v>0</v>
      </c>
      <c r="P436" s="171">
        <f>IF(P437&gt;0,1,0)</f>
        <v>0</v>
      </c>
      <c r="Q436" s="173">
        <f>IF(Q437&gt;0,1,0)</f>
        <v>0</v>
      </c>
      <c r="R436" s="173">
        <f>IF(R437&gt;0,1,0)</f>
        <v>0</v>
      </c>
      <c r="S436" s="176">
        <f>IF(S437&gt;0,1,0)</f>
        <v>0</v>
      </c>
      <c r="T436" s="627"/>
      <c r="U436" s="628"/>
    </row>
    <row r="437" spans="1:21" ht="36" customHeight="1" thickBot="1">
      <c r="A437" s="568"/>
      <c r="B437" s="177">
        <v>1</v>
      </c>
      <c r="C437" s="177">
        <v>0.8</v>
      </c>
      <c r="D437" s="572"/>
      <c r="E437" s="572"/>
      <c r="F437" s="177">
        <v>0.7</v>
      </c>
      <c r="G437" s="178">
        <v>0</v>
      </c>
      <c r="H437" s="179">
        <f>IF(E434&gt;0,ROUND((C448*E433),2)*E434,0)+IF(F434&gt;0,C448*F434,0)</f>
        <v>0</v>
      </c>
      <c r="I437" s="180"/>
      <c r="J437" s="181">
        <f>IF(G430&gt;0,IF(B430&gt;=G430,E443-((E443/22)*F443),(E443-(ROUND(((E443/22)*(((G430-B430)/8*B455)+F443)),2))))-IF(B430=0,0,0)-IF(B430&lt;=F443*8*B455,E443-ROUND(((E443/22)*(((G430-B430)/8*B455)+F443)),2),0),0)</f>
        <v>0</v>
      </c>
      <c r="K437" s="182">
        <f>G446-R437</f>
        <v>0</v>
      </c>
      <c r="L437" s="182">
        <f>IF(F448&gt;0,IF(F448&lt;190,F448,190),0)</f>
        <v>0</v>
      </c>
      <c r="M437" s="182"/>
      <c r="N437" s="183">
        <f>IF(N436&gt;0,L$3*B455*N436,0)</f>
        <v>0</v>
      </c>
      <c r="O437" s="184">
        <f>IF(C455&lt;=$P$2,IF(G448&gt;0,IF(G448&lt;500,G448,500),0),0)</f>
        <v>0</v>
      </c>
      <c r="P437" s="181">
        <f>IF(G443&gt;0,ROUND(((G443/G430)*B430),2),0)+G442</f>
        <v>0</v>
      </c>
      <c r="Q437" s="182">
        <f>IF(F441&gt;0,ROUND((F441/G430)*B430,2),0)</f>
        <v>0</v>
      </c>
      <c r="R437" s="182">
        <f>IF(G446&gt;0,IF(G446&lt;380,G446,380),0)</f>
        <v>0</v>
      </c>
      <c r="S437" s="185"/>
      <c r="T437" s="627"/>
      <c r="U437" s="628"/>
    </row>
    <row r="438" spans="1:21" ht="60" customHeight="1" thickBot="1" thickTop="1">
      <c r="A438" s="568"/>
      <c r="B438" s="137"/>
      <c r="C438" s="137"/>
      <c r="D438" s="137"/>
      <c r="E438" s="137"/>
      <c r="F438" s="137"/>
      <c r="G438" s="139">
        <f>IF(L426+L439-Q437-P437-K447-J437&gt;$F$1,IF(G437&gt;0,IF(((H447-S448-L453-L447-J437-K437-L437-O450+P455)*(100%-G437))&gt;=(($F$1*B455)-IF(ROUND(((ROUND(($F$1-C455),0.1)*E455)-D455),0.1)&gt;0,ROUND(((ROUND(($F$1-C455),0.1)*E455)-D455),0.1),0)),((H447-S448-L453-L447-J437-K437-L437-O450+P455)*G437)))+IF(G437&gt;0,IF(((H447-S448-L453-L447-J437-K437-L437-O450+P455)*(100%-G437))&lt;(($F$1*B455)-IF(ROUND(((ROUND(($F$1-C455),0.1)*E455)-D455),0.1)&gt;0,ROUND(((ROUND(($F$1-C455),0.1)*E455)-D455),0.1),0)),(H447-S448-L453-L447-J437-K437-L437-O450+P455)-(($F$1*B455)-IF(ROUND(((ROUND(($F$1-C455),0.1)*E455)-D455),0.1)&gt;0,ROUND(((ROUND(($F$1-C455),0.1)*E455)-D455),0.1),0)))),0)</f>
        <v>0</v>
      </c>
      <c r="H438" s="629" t="s">
        <v>135</v>
      </c>
      <c r="I438" s="630"/>
      <c r="J438" s="630"/>
      <c r="K438" s="575">
        <f>L439+P438</f>
        <v>0</v>
      </c>
      <c r="L438" s="576"/>
      <c r="M438" s="631" t="s">
        <v>136</v>
      </c>
      <c r="N438" s="632"/>
      <c r="O438" s="632"/>
      <c r="P438" s="575">
        <f>P439+S439</f>
        <v>0</v>
      </c>
      <c r="Q438" s="575"/>
      <c r="R438" s="186"/>
      <c r="S438" s="186"/>
      <c r="T438" s="187">
        <v>200</v>
      </c>
      <c r="U438" s="188">
        <f>ROUND(((1400/'[1]Li-pł zlec'!$V$1)*'[1]LI-PŁ-prac'!T438),2)+((H437+L439)-ROUND(((H437+L439)*$N$3),2))+O440+P440+P442+R442+S442-O447-L447-M447</f>
        <v>1750</v>
      </c>
    </row>
    <row r="439" spans="1:21" ht="119.25" customHeight="1">
      <c r="A439" s="568"/>
      <c r="B439" s="189" t="s">
        <v>137</v>
      </c>
      <c r="C439" s="190" t="s">
        <v>138</v>
      </c>
      <c r="D439" s="595" t="s">
        <v>139</v>
      </c>
      <c r="E439" s="649" t="s">
        <v>307</v>
      </c>
      <c r="F439" s="191" t="s">
        <v>140</v>
      </c>
      <c r="G439" s="192" t="s">
        <v>141</v>
      </c>
      <c r="H439" s="651" t="s">
        <v>142</v>
      </c>
      <c r="I439" s="652"/>
      <c r="J439" s="652"/>
      <c r="K439" s="652"/>
      <c r="L439" s="193">
        <f>SUM(H442:L442)</f>
        <v>0</v>
      </c>
      <c r="M439" s="625"/>
      <c r="N439" s="626"/>
      <c r="O439" s="626"/>
      <c r="P439" s="193"/>
      <c r="Q439" s="635"/>
      <c r="R439" s="636"/>
      <c r="S439" s="194"/>
      <c r="T439" s="637"/>
      <c r="U439" s="638"/>
    </row>
    <row r="440" spans="1:21" ht="141" customHeight="1" thickBot="1">
      <c r="A440" s="568"/>
      <c r="B440" s="195" t="s">
        <v>143</v>
      </c>
      <c r="C440" s="196"/>
      <c r="D440" s="554"/>
      <c r="E440" s="650"/>
      <c r="F440" s="197">
        <f>IF(F441&gt;0,1,0)</f>
        <v>0</v>
      </c>
      <c r="G440" s="155" t="s">
        <v>308</v>
      </c>
      <c r="H440" s="198" t="s">
        <v>144</v>
      </c>
      <c r="I440" s="199" t="s">
        <v>145</v>
      </c>
      <c r="J440" s="199" t="s">
        <v>146</v>
      </c>
      <c r="K440" s="199" t="s">
        <v>147</v>
      </c>
      <c r="L440" s="200" t="s">
        <v>148</v>
      </c>
      <c r="M440" s="201"/>
      <c r="N440" s="202"/>
      <c r="O440" s="203"/>
      <c r="P440" s="204"/>
      <c r="Q440" s="205"/>
      <c r="R440" s="206"/>
      <c r="S440" s="207"/>
      <c r="T440" s="637"/>
      <c r="U440" s="638"/>
    </row>
    <row r="441" spans="1:21" ht="51.75" customHeight="1">
      <c r="A441" s="568"/>
      <c r="B441" s="208"/>
      <c r="C441" s="595" t="s">
        <v>149</v>
      </c>
      <c r="D441" s="554"/>
      <c r="E441" s="209"/>
      <c r="F441" s="210">
        <f>IF(T427&gt;0,$H$3,0)</f>
        <v>0</v>
      </c>
      <c r="G441" s="211">
        <f>IF(G442+G443&gt;0,1,0)</f>
        <v>0</v>
      </c>
      <c r="H441" s="212">
        <f>IF(H442&gt;0,1,0)</f>
        <v>0</v>
      </c>
      <c r="I441" s="213">
        <f>IF(I442&gt;0,1,0)</f>
        <v>0</v>
      </c>
      <c r="J441" s="213">
        <f>IF(J442&gt;0,1,0)</f>
        <v>0</v>
      </c>
      <c r="K441" s="213">
        <f>IF(K442&gt;0,1,0)</f>
        <v>0</v>
      </c>
      <c r="L441" s="214">
        <f>IF(L442&gt;0,1,0)</f>
        <v>0</v>
      </c>
      <c r="M441" s="639" t="s">
        <v>150</v>
      </c>
      <c r="N441" s="640"/>
      <c r="O441" s="641"/>
      <c r="P441" s="642"/>
      <c r="Q441" s="215"/>
      <c r="R441" s="216"/>
      <c r="S441" s="217"/>
      <c r="T441" s="643"/>
      <c r="U441" s="644"/>
    </row>
    <row r="442" spans="1:21" ht="60.75" customHeight="1" thickBot="1">
      <c r="A442" s="568"/>
      <c r="B442" s="218" t="s">
        <v>151</v>
      </c>
      <c r="C442" s="554"/>
      <c r="D442" s="131"/>
      <c r="E442" s="219">
        <f>IF(E441&gt;0,C$3,0)</f>
        <v>0</v>
      </c>
      <c r="F442" s="220" t="s">
        <v>152</v>
      </c>
      <c r="G442" s="221"/>
      <c r="H442" s="179">
        <f>IF(G434&gt;0,(ROUND((C448*G433),2)*G434),0)+IF(B438&gt;0,(ROUND((C448*B437),2)*B438),0)+IF(F438&gt;0,(ROUND((C448*F437),2)*F438),0)</f>
        <v>0</v>
      </c>
      <c r="I442" s="182">
        <f>IF(E438&gt;0,(ROUND(((D448*D447)/30),2)*E438),0)</f>
        <v>0</v>
      </c>
      <c r="J442" s="182">
        <f>IF(C438&gt;0,(ROUND(C448*C437,2)*C438),0)</f>
        <v>0</v>
      </c>
      <c r="K442" s="182">
        <f>IF(D438&gt;0,(ROUND(C448,2)*D438),0)</f>
        <v>0</v>
      </c>
      <c r="L442" s="222">
        <f>E448</f>
        <v>0</v>
      </c>
      <c r="M442" s="645">
        <f>Q427+M432+L439</f>
        <v>0</v>
      </c>
      <c r="N442" s="646"/>
      <c r="O442" s="202"/>
      <c r="P442" s="223"/>
      <c r="Q442" s="224"/>
      <c r="R442" s="182"/>
      <c r="S442" s="185"/>
      <c r="T442" s="695" t="s">
        <v>153</v>
      </c>
      <c r="U442" s="696"/>
    </row>
    <row r="443" spans="1:21" ht="41.25" customHeight="1" thickTop="1">
      <c r="A443" s="568"/>
      <c r="B443" s="208"/>
      <c r="C443" s="208"/>
      <c r="D443" s="208"/>
      <c r="E443" s="203">
        <f>ROUND((E441*E442),2)</f>
        <v>0</v>
      </c>
      <c r="F443" s="225"/>
      <c r="G443" s="226"/>
      <c r="H443" s="653" t="s">
        <v>309</v>
      </c>
      <c r="I443" s="655" t="s">
        <v>154</v>
      </c>
      <c r="J443" s="657" t="s">
        <v>155</v>
      </c>
      <c r="K443" s="660" t="s">
        <v>156</v>
      </c>
      <c r="L443" s="661" t="s">
        <v>157</v>
      </c>
      <c r="M443" s="661"/>
      <c r="N443" s="661"/>
      <c r="O443" s="662"/>
      <c r="P443" s="663" t="s">
        <v>158</v>
      </c>
      <c r="Q443" s="227" t="s">
        <v>159</v>
      </c>
      <c r="R443" s="228" t="s">
        <v>160</v>
      </c>
      <c r="S443" s="229" t="s">
        <v>161</v>
      </c>
      <c r="T443" s="695" t="s">
        <v>162</v>
      </c>
      <c r="U443" s="696"/>
    </row>
    <row r="444" spans="1:21" ht="92.25" customHeight="1">
      <c r="A444" s="568"/>
      <c r="B444" s="664" t="s">
        <v>163</v>
      </c>
      <c r="C444" s="117" t="s">
        <v>164</v>
      </c>
      <c r="D444" s="337" t="s">
        <v>165</v>
      </c>
      <c r="E444" s="146" t="s">
        <v>166</v>
      </c>
      <c r="F444" s="697" t="s">
        <v>167</v>
      </c>
      <c r="G444" s="191" t="s">
        <v>168</v>
      </c>
      <c r="H444" s="654"/>
      <c r="I444" s="656"/>
      <c r="J444" s="658"/>
      <c r="K444" s="584"/>
      <c r="L444" s="232" t="s">
        <v>169</v>
      </c>
      <c r="M444" s="123" t="s">
        <v>170</v>
      </c>
      <c r="N444" s="136" t="s">
        <v>171</v>
      </c>
      <c r="O444" s="136" t="s">
        <v>172</v>
      </c>
      <c r="P444" s="556"/>
      <c r="Q444" s="233">
        <f>ROUND(IF(S449&gt;$N$4,IF(S449&lt;=$O$4,7866.25+((S449-$N$4)*$O$3)),0)+IF(S449&gt;$O$4,20177.65+((S449-$O$4)*$P$3),0)+IF(S449&lt;=$N$4,IF(S449*E455&gt;0,S449*E455),0),0.1)</f>
        <v>0</v>
      </c>
      <c r="R444" s="234">
        <f>IF(L439&gt;0,ROUND((ROUND((L439),0.1)*E455),0.1),0)</f>
        <v>0</v>
      </c>
      <c r="S444" s="235">
        <f>IF(Q444+R444-D455&gt;=0,Q444+R444-D455,0)+IF(D455-Q444+R444&gt;0&lt;D455+0.001,Q444+R444-D455,0)</f>
        <v>0</v>
      </c>
      <c r="T444" s="695" t="s">
        <v>173</v>
      </c>
      <c r="U444" s="696"/>
    </row>
    <row r="445" spans="1:21" ht="36.75" customHeight="1">
      <c r="A445" s="568"/>
      <c r="B445" s="665"/>
      <c r="C445" s="230"/>
      <c r="D445" s="236"/>
      <c r="E445" s="237"/>
      <c r="F445" s="698"/>
      <c r="G445" s="239" t="s">
        <v>310</v>
      </c>
      <c r="H445" s="654"/>
      <c r="I445" s="656"/>
      <c r="J445" s="658"/>
      <c r="K445" s="584"/>
      <c r="L445" s="123"/>
      <c r="M445" s="240"/>
      <c r="N445" s="241"/>
      <c r="O445" s="136"/>
      <c r="P445" s="556"/>
      <c r="Q445" s="668" t="s">
        <v>174</v>
      </c>
      <c r="R445" s="669"/>
      <c r="S445" s="235">
        <f>ROUND(IF(S444&gt;=L455,S444-L455,0),0.1)</f>
        <v>0</v>
      </c>
      <c r="T445" s="338" t="str">
        <f>L$8</f>
        <v>styczeń</v>
      </c>
      <c r="U445" s="339" t="str">
        <f>N$8</f>
        <v>2011 r.</v>
      </c>
    </row>
    <row r="446" spans="1:21" ht="48" customHeight="1">
      <c r="A446" s="568"/>
      <c r="B446" s="244">
        <f>IF(B447=0,IF(T427&gt;0,IF(T432&gt;0,IF(T432="I kl",O$1)+IF(T432="II kl",P$1)+IF(T432="III kl",Q$1),ROUND((E$1*B455),2)),0),0)</f>
        <v>0</v>
      </c>
      <c r="C446" s="118" t="s">
        <v>175</v>
      </c>
      <c r="D446" s="123" t="s">
        <v>176</v>
      </c>
      <c r="E446" s="245"/>
      <c r="F446" s="698"/>
      <c r="G446" s="139"/>
      <c r="H446" s="246">
        <f>IF(H447&gt;0,1,0)</f>
        <v>0</v>
      </c>
      <c r="I446" s="247">
        <f>IF(I447&gt;0,1,0)</f>
        <v>0</v>
      </c>
      <c r="J446" s="658"/>
      <c r="K446" s="248">
        <f aca="true" t="shared" si="41" ref="K446:P446">IF(K447&gt;0,1,0)</f>
        <v>0</v>
      </c>
      <c r="L446" s="249">
        <f t="shared" si="41"/>
        <v>0</v>
      </c>
      <c r="M446" s="250">
        <f t="shared" si="41"/>
        <v>0</v>
      </c>
      <c r="N446" s="249">
        <f t="shared" si="41"/>
        <v>0</v>
      </c>
      <c r="O446" s="251">
        <f t="shared" si="41"/>
        <v>0</v>
      </c>
      <c r="P446" s="252">
        <f t="shared" si="41"/>
        <v>0</v>
      </c>
      <c r="Q446" s="670" t="s">
        <v>177</v>
      </c>
      <c r="R446" s="253" t="s">
        <v>178</v>
      </c>
      <c r="S446" s="235">
        <v>0</v>
      </c>
      <c r="T446" s="647" t="s">
        <v>179</v>
      </c>
      <c r="U446" s="648"/>
    </row>
    <row r="447" spans="1:21" ht="57.75" customHeight="1" thickBot="1">
      <c r="A447" s="568"/>
      <c r="B447" s="254"/>
      <c r="C447" s="230"/>
      <c r="D447" s="177">
        <v>0.9</v>
      </c>
      <c r="E447" s="255">
        <f>IF(E445&gt;0,$U$1-E446,0)</f>
        <v>0</v>
      </c>
      <c r="F447" s="238">
        <f>IF(F448&gt;0,1,0)</f>
        <v>0</v>
      </c>
      <c r="G447" s="256" t="s">
        <v>180</v>
      </c>
      <c r="H447" s="257">
        <f>P426+L439-P455</f>
        <v>0</v>
      </c>
      <c r="I447" s="233">
        <f>L426+K438</f>
        <v>0</v>
      </c>
      <c r="J447" s="659"/>
      <c r="K447" s="244">
        <f>S431+K437+L437+O437+R437+O450+L453-N447</f>
        <v>0</v>
      </c>
      <c r="L447" s="244"/>
      <c r="M447" s="244">
        <f>G436+IF(G438&gt;0,G438,0)</f>
        <v>0</v>
      </c>
      <c r="N447" s="244">
        <f>L453-L455</f>
        <v>0</v>
      </c>
      <c r="O447" s="244"/>
      <c r="P447" s="258">
        <f>SUM(K447:O447)</f>
        <v>0</v>
      </c>
      <c r="Q447" s="671"/>
      <c r="R447" s="259" t="s">
        <v>181</v>
      </c>
      <c r="S447" s="235">
        <v>0</v>
      </c>
      <c r="T447" s="647" t="s">
        <v>182</v>
      </c>
      <c r="U447" s="648"/>
    </row>
    <row r="448" spans="1:21" ht="45.75" customHeight="1" thickBot="1" thickTop="1">
      <c r="A448" s="569"/>
      <c r="B448" s="244">
        <f>IF(B447=0,ROUND(IF(B446&gt;0,CEILING((B446/G430),0.01),B447),2),B447)</f>
        <v>0</v>
      </c>
      <c r="C448" s="244">
        <f>IF(T427&gt;0,(IF(C445&gt;0,ROUND(((C445-(C445*(B451+C451+D451)))/30),2),0)+IF(C447&gt;0,ROUND((C447/30),2),0))+(IF(IF(C445&gt;0,ROUND(((C445-(C445*(B451+C451+D451)))/30),2),0)+IF(C447&gt;0,ROUND((C447/30),2),0)&lt;ROUND((($F$1*B455)/30),2),(IF(C445+C447&gt;0,ROUND((($F$1*B455)/30),2)-(IF(C445&gt;0,ROUND(((C445-(C445*(B451+C451+D451)))/30),2),0)+IF(C447&gt;0,ROUND((C447/30),2),0)))),0)),0)</f>
        <v>0</v>
      </c>
      <c r="D448" s="244"/>
      <c r="E448" s="244">
        <f>IF(E447&gt;0,IF(ROUND(E445-((E445/30)*E446),2)-H450+O450&gt;0,ROUND(E445-((E445/30)*E446),2)-H450+O450,0),0)</f>
        <v>0</v>
      </c>
      <c r="F448" s="137"/>
      <c r="G448" s="139"/>
      <c r="H448" s="672" t="s">
        <v>183</v>
      </c>
      <c r="I448" s="673"/>
      <c r="J448" s="673"/>
      <c r="K448" s="673"/>
      <c r="L448" s="673"/>
      <c r="M448" s="674" t="s">
        <v>184</v>
      </c>
      <c r="N448" s="675"/>
      <c r="O448" s="260" t="s">
        <v>185</v>
      </c>
      <c r="P448" s="261" t="s">
        <v>186</v>
      </c>
      <c r="Q448" s="676" t="s">
        <v>187</v>
      </c>
      <c r="R448" s="677"/>
      <c r="S448" s="262">
        <f>ROUND((IF(S445-S446&gt;=0,S445-S446,0)+S447),0.1)</f>
        <v>0</v>
      </c>
      <c r="T448" s="263" t="str">
        <f>L$8</f>
        <v>styczeń</v>
      </c>
      <c r="U448" s="264" t="str">
        <f>N$8</f>
        <v>2011 r.</v>
      </c>
    </row>
    <row r="449" spans="1:21" ht="69.75" customHeight="1" thickBot="1" thickTop="1">
      <c r="A449" s="568"/>
      <c r="B449" s="699" t="s">
        <v>188</v>
      </c>
      <c r="C449" s="700"/>
      <c r="D449" s="700"/>
      <c r="E449" s="701"/>
      <c r="F449" s="265" t="s">
        <v>189</v>
      </c>
      <c r="G449" s="266" t="s">
        <v>190</v>
      </c>
      <c r="H449" s="267" t="s">
        <v>191</v>
      </c>
      <c r="I449" s="268" t="s">
        <v>192</v>
      </c>
      <c r="J449" s="269" t="s">
        <v>193</v>
      </c>
      <c r="K449" s="238" t="s">
        <v>194</v>
      </c>
      <c r="L449" s="270" t="s">
        <v>195</v>
      </c>
      <c r="M449" s="198" t="s">
        <v>196</v>
      </c>
      <c r="N449" s="271" t="s">
        <v>197</v>
      </c>
      <c r="O449" s="294" t="s">
        <v>198</v>
      </c>
      <c r="P449" s="273" t="s">
        <v>199</v>
      </c>
      <c r="Q449" s="340" t="s">
        <v>200</v>
      </c>
      <c r="R449" s="275" t="s">
        <v>201</v>
      </c>
      <c r="S449" s="276">
        <f>IF(ROUND((P426-P455-C455),0.1)&gt;0,ROUND((P426-P455-C455),0.1),0)</f>
        <v>0</v>
      </c>
      <c r="T449" s="277"/>
      <c r="U449" s="278"/>
    </row>
    <row r="450" spans="1:21" ht="81" customHeight="1" thickTop="1">
      <c r="A450" s="568"/>
      <c r="B450" s="279" t="s">
        <v>202</v>
      </c>
      <c r="C450" s="279" t="s">
        <v>203</v>
      </c>
      <c r="D450" s="279" t="s">
        <v>204</v>
      </c>
      <c r="E450" s="279" t="s">
        <v>205</v>
      </c>
      <c r="F450" s="279" t="s">
        <v>206</v>
      </c>
      <c r="G450" s="280">
        <f>ROUND((H450*G452),2)</f>
        <v>0</v>
      </c>
      <c r="H450" s="281">
        <f>Q427+O437</f>
        <v>0</v>
      </c>
      <c r="I450" s="282">
        <f>Q427+O437</f>
        <v>0</v>
      </c>
      <c r="J450" s="282">
        <f>Q427+O437</f>
        <v>0</v>
      </c>
      <c r="K450" s="282">
        <f>Q427+O437</f>
        <v>0</v>
      </c>
      <c r="L450" s="283">
        <f>Q427+H437+I437-O450+O437</f>
        <v>0</v>
      </c>
      <c r="M450" s="284">
        <f>IF(D445&gt;0,IF(D445&lt;$U$1,ROUND((($E$1/$U$1)*D445),2),$E$1))+IF(K442&gt;0,K442,0)</f>
        <v>0</v>
      </c>
      <c r="N450" s="285">
        <f>M450</f>
        <v>0</v>
      </c>
      <c r="O450" s="286">
        <f>SUM(H453:J453)</f>
        <v>0</v>
      </c>
      <c r="P450" s="287">
        <f>IF(P451&gt;0,1,0)</f>
        <v>0</v>
      </c>
      <c r="Q450" s="288">
        <f>ROUND((H450-O437-P455+H437+I437)*$R$3,2)</f>
        <v>0</v>
      </c>
      <c r="R450" s="681" t="s">
        <v>207</v>
      </c>
      <c r="S450" s="683" t="s">
        <v>311</v>
      </c>
      <c r="T450" s="289"/>
      <c r="U450" s="278"/>
    </row>
    <row r="451" spans="1:21" ht="38.25" customHeight="1">
      <c r="A451" s="568"/>
      <c r="B451" s="158">
        <f>IF(H450&gt;0,B$2,0)</f>
        <v>0</v>
      </c>
      <c r="C451" s="158">
        <f>IF(I450&gt;0,H$4,0)</f>
        <v>0</v>
      </c>
      <c r="D451" s="158">
        <f>IF(J450&gt;0,F$2,0)</f>
        <v>0</v>
      </c>
      <c r="E451" s="158" t="s">
        <v>208</v>
      </c>
      <c r="F451" s="290" t="s">
        <v>209</v>
      </c>
      <c r="G451" s="291">
        <v>0</v>
      </c>
      <c r="H451" s="685" t="s">
        <v>210</v>
      </c>
      <c r="I451" s="686"/>
      <c r="J451" s="686"/>
      <c r="K451" s="686"/>
      <c r="L451" s="686"/>
      <c r="M451" s="292" t="s">
        <v>211</v>
      </c>
      <c r="N451" s="293" t="s">
        <v>212</v>
      </c>
      <c r="O451" s="294" t="s">
        <v>213</v>
      </c>
      <c r="P451" s="52">
        <f>IF(I450&lt;$E$1,IF(B455=1,IF(T432=0,ROUND((I450*$L$2),2),0),0),ROUND((I450*$L$2),2))</f>
        <v>0</v>
      </c>
      <c r="Q451" s="295" t="s">
        <v>214</v>
      </c>
      <c r="R451" s="682"/>
      <c r="S451" s="684"/>
      <c r="T451" s="289"/>
      <c r="U451" s="278"/>
    </row>
    <row r="452" spans="1:21" ht="42.75" customHeight="1" thickBot="1">
      <c r="A452" s="568"/>
      <c r="B452" s="158">
        <f>IF(H450&gt;0,B$2,0)</f>
        <v>0</v>
      </c>
      <c r="C452" s="158">
        <f>IF(I450&gt;0,D$2,0)</f>
        <v>0</v>
      </c>
      <c r="D452" s="158" t="s">
        <v>208</v>
      </c>
      <c r="E452" s="158">
        <f>IF(K450&gt;0,H$2,0)</f>
        <v>0</v>
      </c>
      <c r="F452" s="158">
        <f>IF(L450&gt;0,J$2,0)</f>
        <v>0</v>
      </c>
      <c r="G452" s="158">
        <f>IF(G451&gt;0,L$1,0)</f>
        <v>0</v>
      </c>
      <c r="H452" s="296" t="s">
        <v>215</v>
      </c>
      <c r="I452" s="297" t="s">
        <v>215</v>
      </c>
      <c r="J452" s="297" t="s">
        <v>215</v>
      </c>
      <c r="K452" s="298" t="s">
        <v>209</v>
      </c>
      <c r="L452" s="299" t="s">
        <v>215</v>
      </c>
      <c r="M452" s="300">
        <f>ROUND(M450*(B$2+B$2),2)</f>
        <v>0</v>
      </c>
      <c r="N452" s="301">
        <f>ROUND(N450*(D$2+H$4),2)</f>
        <v>0</v>
      </c>
      <c r="O452" s="302">
        <f>H455+I455+K455+G450</f>
        <v>0</v>
      </c>
      <c r="P452" s="303" t="s">
        <v>216</v>
      </c>
      <c r="Q452" s="304">
        <f>ROUND((L450*J$2),2)</f>
        <v>0</v>
      </c>
      <c r="R452" s="305" t="s">
        <v>217</v>
      </c>
      <c r="S452" s="684"/>
      <c r="T452" s="289"/>
      <c r="U452" s="278"/>
    </row>
    <row r="453" spans="1:21" ht="53.25" customHeight="1" thickBot="1" thickTop="1">
      <c r="A453" s="568"/>
      <c r="B453" s="141">
        <f>IF(B451+B452&gt;0,1,0)</f>
        <v>0</v>
      </c>
      <c r="C453" s="141">
        <f>IF(C451+C452&gt;0,1,0)</f>
        <v>0</v>
      </c>
      <c r="D453" s="141">
        <f>IF(D451&gt;0,1,0)</f>
        <v>0</v>
      </c>
      <c r="E453" s="141">
        <f>IF(E452&gt;0,1,0)</f>
        <v>0</v>
      </c>
      <c r="F453" s="141">
        <f>IF(F452&gt;0,1,0)</f>
        <v>0</v>
      </c>
      <c r="G453" s="141">
        <f>IF(G452&gt;0,1,0)</f>
        <v>0</v>
      </c>
      <c r="H453" s="306">
        <f>ROUND(H450*B451,2)</f>
        <v>0</v>
      </c>
      <c r="I453" s="307">
        <f>ROUND(I450*C451,2)</f>
        <v>0</v>
      </c>
      <c r="J453" s="307">
        <f>ROUND(J450*D451,2)</f>
        <v>0</v>
      </c>
      <c r="K453" s="244" t="s">
        <v>209</v>
      </c>
      <c r="L453" s="307">
        <f>IF(S444&gt;=ROUND(L450*F452,2),ROUND(L450*F452,2),S444)</f>
        <v>0</v>
      </c>
      <c r="M453" s="687" t="s">
        <v>218</v>
      </c>
      <c r="N453" s="688"/>
      <c r="O453" s="689" t="s">
        <v>219</v>
      </c>
      <c r="P453" s="308">
        <f>IF(P454&gt;0,1,0)</f>
        <v>0</v>
      </c>
      <c r="Q453" s="309" t="s">
        <v>220</v>
      </c>
      <c r="R453" s="310">
        <f>IF(B430=G430,H431+I431+J431+L431+O431+R431+IF(K431&gt;0,ROUND((K431/K429),2),0),0)+IF(B430&lt;G430,IF(B430&gt;0,ROUND((((H431+J431)/B430)*(G430-B443)),2)+IF(K431&gt;0,ROUND((K431/K429),2),0)+I431+L431+O431+R431,0),0)</f>
        <v>0</v>
      </c>
      <c r="S453" s="235">
        <f>IF(S445-S446&lt;0,S446-S445,0)</f>
        <v>0</v>
      </c>
      <c r="T453" s="289"/>
      <c r="U453" s="278"/>
    </row>
    <row r="454" spans="1:22" ht="63" customHeight="1" thickBot="1" thickTop="1">
      <c r="A454" s="568"/>
      <c r="B454" s="311" t="s">
        <v>221</v>
      </c>
      <c r="C454" s="311" t="s">
        <v>222</v>
      </c>
      <c r="D454" s="311" t="s">
        <v>34</v>
      </c>
      <c r="E454" s="146" t="s">
        <v>223</v>
      </c>
      <c r="F454" s="312" t="s">
        <v>224</v>
      </c>
      <c r="G454" s="139">
        <f>IF(Q450&gt;Q444,Q450-Q444,0)</f>
        <v>0</v>
      </c>
      <c r="H454" s="313" t="s">
        <v>225</v>
      </c>
      <c r="I454" s="314" t="s">
        <v>225</v>
      </c>
      <c r="J454" s="298" t="s">
        <v>209</v>
      </c>
      <c r="K454" s="315" t="s">
        <v>225</v>
      </c>
      <c r="L454" s="316" t="s">
        <v>226</v>
      </c>
      <c r="M454" s="317" t="s">
        <v>227</v>
      </c>
      <c r="N454" s="318" t="s">
        <v>228</v>
      </c>
      <c r="O454" s="690"/>
      <c r="P454" s="319">
        <f>ROUND(N$2*H450,2)</f>
        <v>0</v>
      </c>
      <c r="Q454" s="320">
        <f>IF(D445&gt;0,$U$2,0)</f>
        <v>0</v>
      </c>
      <c r="R454" s="321" t="s">
        <v>229</v>
      </c>
      <c r="S454" s="322" t="s">
        <v>230</v>
      </c>
      <c r="T454" s="691" t="s">
        <v>231</v>
      </c>
      <c r="U454" s="702"/>
      <c r="V454" s="323">
        <f>IF(ISBLANK(AM426),0,IF(IF(AF441&gt;=AI$2,AI$2,AF441)&gt;0,IF(AF441&gt;=AI$2,AI$2,AF441),0))</f>
        <v>0</v>
      </c>
    </row>
    <row r="455" spans="1:22" ht="42" customHeight="1" thickBot="1" thickTop="1">
      <c r="A455" s="570"/>
      <c r="B455" s="324">
        <f>IF(ISBLANK(T427),0,1)</f>
        <v>0</v>
      </c>
      <c r="C455" s="324">
        <f>IF(ISBLANK(T427),0,IF(IF(M442&gt;=P$2,P$2,M442)&gt;0,IF(M442&gt;=P$2,P$2,M442),0))</f>
        <v>0</v>
      </c>
      <c r="D455" s="324">
        <f>IF(ISBLANK(T427),0,S$1)</f>
        <v>0</v>
      </c>
      <c r="E455" s="325">
        <f>IF(G430&gt;0,$N$3,0)</f>
        <v>0</v>
      </c>
      <c r="F455" s="326">
        <f>O450+O452+P451+P454+L453+S448</f>
        <v>0</v>
      </c>
      <c r="G455" s="327">
        <f>IF(G454&gt;0,1,0)</f>
        <v>0</v>
      </c>
      <c r="H455" s="328">
        <f>ROUND(H450*B451,2)</f>
        <v>0</v>
      </c>
      <c r="I455" s="329">
        <f>ROUND(I450*C452,2)</f>
        <v>0</v>
      </c>
      <c r="J455" s="182" t="s">
        <v>209</v>
      </c>
      <c r="K455" s="330">
        <f>ROUND(K450*E452,2)</f>
        <v>0</v>
      </c>
      <c r="L455" s="185">
        <f>IF(S444&gt;=ROUND((H450-O437-P455+H437+I437)*$R$3,2),ROUND((H450-O437-P455+H437+I437)*$R$3,2),S444)</f>
        <v>0</v>
      </c>
      <c r="M455" s="179">
        <f>O450+O452</f>
        <v>0</v>
      </c>
      <c r="N455" s="331">
        <f>M455+L453</f>
        <v>0</v>
      </c>
      <c r="O455" s="332">
        <f>SUM(M452:N452)</f>
        <v>0</v>
      </c>
      <c r="P455" s="333">
        <f>ROUND(Q427*B451,2)+ROUND(Q427*C451,2)+ROUND(Q427*D451,2)</f>
        <v>0</v>
      </c>
      <c r="Q455" s="334">
        <f>IF(D445&gt;0,ROUND(($U$2*J$2),2),0)</f>
        <v>0</v>
      </c>
      <c r="R455" s="335">
        <f>IF(B430&gt;=G430/2,IF(B430=G430,H431+I431+J431+L431+O431+P431+R431+IF(K431&gt;0,ROUND((K431/K429),2),0),ROUND((((H431+J431+L431)/B430)*(G430-B443)),2)+IF(K431&gt;0,ROUND((K431/K429),2),0)+I431+O431+P431+R431),0)</f>
        <v>0</v>
      </c>
      <c r="S455" s="336">
        <f>IF(P426-O450-S448-L453&gt;0,P426-O450-S448-L453,0)</f>
        <v>0</v>
      </c>
      <c r="T455" s="693" t="s">
        <v>232</v>
      </c>
      <c r="U455" s="703"/>
      <c r="V455" s="323">
        <f>IF(ISBLANK(AM427),0,IF(IF(AF442&gt;=AJ$2,AJ$2,AF442)&gt;0,IF(AF442&gt;=AJ$2,AJ$2,AF442),0))</f>
        <v>0</v>
      </c>
    </row>
    <row r="456" ht="24" customHeight="1" thickTop="1"/>
    <row r="457" spans="1:23" ht="33" customHeight="1" thickBot="1">
      <c r="A457" s="111" t="s">
        <v>72</v>
      </c>
      <c r="B457" s="112" t="s">
        <v>73</v>
      </c>
      <c r="C457" s="113"/>
      <c r="D457" s="113"/>
      <c r="E457" s="114"/>
      <c r="F457" s="553" t="s">
        <v>74</v>
      </c>
      <c r="G457" s="555" t="s">
        <v>75</v>
      </c>
      <c r="H457" s="557" t="s">
        <v>76</v>
      </c>
      <c r="I457" s="557"/>
      <c r="J457" s="558"/>
      <c r="K457" s="559"/>
      <c r="L457" s="560"/>
      <c r="M457" s="560"/>
      <c r="N457" s="560"/>
      <c r="O457" s="561"/>
      <c r="P457" s="559"/>
      <c r="Q457" s="560"/>
      <c r="R457" s="560"/>
      <c r="S457" s="560"/>
      <c r="T457" s="565" t="s">
        <v>77</v>
      </c>
      <c r="U457" s="566"/>
      <c r="V457" s="102"/>
      <c r="W457" s="115"/>
    </row>
    <row r="458" spans="1:23" ht="44.25" customHeight="1" thickBot="1" thickTop="1">
      <c r="A458" s="567">
        <f>A426+1</f>
        <v>15</v>
      </c>
      <c r="B458" s="571" t="s">
        <v>79</v>
      </c>
      <c r="C458" s="571" t="s">
        <v>80</v>
      </c>
      <c r="D458" s="573" t="s">
        <v>81</v>
      </c>
      <c r="E458" s="573"/>
      <c r="F458" s="554"/>
      <c r="G458" s="556"/>
      <c r="H458" s="574" t="s">
        <v>82</v>
      </c>
      <c r="I458" s="574"/>
      <c r="J458" s="574"/>
      <c r="K458" s="574"/>
      <c r="L458" s="575">
        <f>P458+S464</f>
        <v>0</v>
      </c>
      <c r="M458" s="576"/>
      <c r="N458" s="577" t="s">
        <v>83</v>
      </c>
      <c r="O458" s="578"/>
      <c r="P458" s="575">
        <f>Q459+M464</f>
        <v>0</v>
      </c>
      <c r="Q458" s="576"/>
      <c r="R458" s="119"/>
      <c r="S458" s="120"/>
      <c r="T458" s="121"/>
      <c r="U458" s="122"/>
      <c r="V458" s="102"/>
      <c r="W458" s="115"/>
    </row>
    <row r="459" spans="1:23" ht="36.75" customHeight="1">
      <c r="A459" s="568"/>
      <c r="B459" s="572"/>
      <c r="C459" s="572"/>
      <c r="D459" s="124" t="s">
        <v>85</v>
      </c>
      <c r="E459" s="124" t="s">
        <v>86</v>
      </c>
      <c r="F459" s="554"/>
      <c r="G459" s="556"/>
      <c r="H459" s="562" t="s">
        <v>87</v>
      </c>
      <c r="I459" s="563"/>
      <c r="J459" s="563"/>
      <c r="K459" s="563"/>
      <c r="L459" s="563"/>
      <c r="M459" s="563"/>
      <c r="N459" s="563"/>
      <c r="O459" s="563"/>
      <c r="P459" s="564"/>
      <c r="Q459" s="579">
        <f>SUM(H463:S463)</f>
        <v>0</v>
      </c>
      <c r="R459" s="580"/>
      <c r="S459" s="125"/>
      <c r="T459" s="581"/>
      <c r="U459" s="582"/>
      <c r="V459" s="102"/>
      <c r="W459" s="115"/>
    </row>
    <row r="460" spans="1:23" ht="38.25" customHeight="1">
      <c r="A460" s="568"/>
      <c r="B460" s="572"/>
      <c r="C460" s="126"/>
      <c r="D460" s="124" t="s">
        <v>89</v>
      </c>
      <c r="E460" s="124" t="s">
        <v>89</v>
      </c>
      <c r="F460" s="554"/>
      <c r="G460" s="127"/>
      <c r="H460" s="128" t="s">
        <v>90</v>
      </c>
      <c r="I460" s="129" t="s">
        <v>91</v>
      </c>
      <c r="J460" s="129" t="s">
        <v>92</v>
      </c>
      <c r="K460" s="130" t="s">
        <v>93</v>
      </c>
      <c r="L460" s="583" t="s">
        <v>94</v>
      </c>
      <c r="M460" s="583" t="s">
        <v>95</v>
      </c>
      <c r="N460" s="583" t="s">
        <v>96</v>
      </c>
      <c r="O460" s="585" t="s">
        <v>97</v>
      </c>
      <c r="P460" s="583" t="s">
        <v>98</v>
      </c>
      <c r="Q460" s="587" t="s">
        <v>99</v>
      </c>
      <c r="R460" s="589" t="s">
        <v>100</v>
      </c>
      <c r="S460" s="591" t="s">
        <v>101</v>
      </c>
      <c r="T460" s="581"/>
      <c r="U460" s="582"/>
      <c r="V460" s="102"/>
      <c r="W460" s="115"/>
    </row>
    <row r="461" spans="1:23" ht="30" customHeight="1">
      <c r="A461" s="568"/>
      <c r="B461" s="572"/>
      <c r="C461" s="131"/>
      <c r="D461" s="131"/>
      <c r="E461" s="131"/>
      <c r="F461" s="554"/>
      <c r="G461" s="127"/>
      <c r="H461" s="132" t="s">
        <v>103</v>
      </c>
      <c r="I461" s="133" t="s">
        <v>104</v>
      </c>
      <c r="J461" s="134">
        <v>0</v>
      </c>
      <c r="K461" s="135">
        <v>1</v>
      </c>
      <c r="L461" s="584"/>
      <c r="M461" s="584"/>
      <c r="N461" s="584"/>
      <c r="O461" s="586"/>
      <c r="P461" s="584"/>
      <c r="Q461" s="588"/>
      <c r="R461" s="590"/>
      <c r="S461" s="592"/>
      <c r="T461" s="581"/>
      <c r="U461" s="582"/>
      <c r="V461" s="102"/>
      <c r="W461" s="115"/>
    </row>
    <row r="462" spans="1:21" ht="51" customHeight="1">
      <c r="A462" s="568"/>
      <c r="B462" s="137">
        <f>G462</f>
        <v>0</v>
      </c>
      <c r="C462" s="137"/>
      <c r="D462" s="137"/>
      <c r="E462" s="138"/>
      <c r="F462" s="138"/>
      <c r="G462" s="139">
        <f>B$1*B487</f>
        <v>0</v>
      </c>
      <c r="H462" s="140">
        <f aca="true" t="shared" si="42" ref="H462:S462">IF(H463&gt;0,1,0)</f>
        <v>0</v>
      </c>
      <c r="I462" s="141">
        <f t="shared" si="42"/>
        <v>0</v>
      </c>
      <c r="J462" s="141">
        <f t="shared" si="42"/>
        <v>0</v>
      </c>
      <c r="K462" s="142">
        <f t="shared" si="42"/>
        <v>0</v>
      </c>
      <c r="L462" s="142">
        <f t="shared" si="42"/>
        <v>0</v>
      </c>
      <c r="M462" s="142">
        <f t="shared" si="42"/>
        <v>0</v>
      </c>
      <c r="N462" s="142">
        <f t="shared" si="42"/>
        <v>0</v>
      </c>
      <c r="O462" s="141">
        <f t="shared" si="42"/>
        <v>0</v>
      </c>
      <c r="P462" s="142">
        <f t="shared" si="42"/>
        <v>0</v>
      </c>
      <c r="Q462" s="142">
        <f t="shared" si="42"/>
        <v>0</v>
      </c>
      <c r="R462" s="143">
        <f t="shared" si="42"/>
        <v>0</v>
      </c>
      <c r="S462" s="144">
        <f t="shared" si="42"/>
        <v>0</v>
      </c>
      <c r="T462" s="593"/>
      <c r="U462" s="594"/>
    </row>
    <row r="463" spans="1:22" ht="49.5" customHeight="1" thickBot="1">
      <c r="A463" s="568"/>
      <c r="B463" s="595" t="s">
        <v>106</v>
      </c>
      <c r="C463" s="595" t="s">
        <v>107</v>
      </c>
      <c r="D463" s="596" t="s">
        <v>108</v>
      </c>
      <c r="E463" s="148" t="s">
        <v>109</v>
      </c>
      <c r="F463" s="149"/>
      <c r="G463" s="597" t="s">
        <v>110</v>
      </c>
      <c r="H463" s="150">
        <f>IF(B462+B466+B473+B475+C472+D466+F463&gt;0,IF(B478&gt;0,B478-(IF(E466+F466+G466+B470+C470+D470+E470+F470&gt;0,ROUND((B478/30)*IF(E466+F466+G466+B470+C470+D470+E470+F470&lt;31,E466+F466+G466+B470+C470+D470+E470+F470,30),2),0)+ROUND(((B478/G462)*(B466+B473+B475+C472+D466)),2)),0),0)+IF(B462&gt;G462,IF(B478&gt;0,(B462-G462)*B480,0),0)+IF(B479&gt;0,B479*B462,0)-IF(IF(B462+B466+B473+B475+C472+D466+F463&gt;0,IF(B478&gt;0,B478-(IF(E466+F466+G466+B470+C470+D470+E470+F470&gt;0,ROUND((B478/30)*IF(E466+F466+G466+B470+C470+D470+E470+F470&lt;31,E466+F466+G466+B470+C470+D470+E470+F470,30),2),0)+ROUND(((B478/G462)*(B466+B473+B475+C472+D466)),2)),0),0)&lt;0,IF(B462+B466+B473+B475+C472+D466+F463&gt;0,IF(B478&gt;0,B478-(IF(E466+F466+G466+B470+C470+D470+E470+F470&gt;0,ROUND((B478/30)*IF(E466+F466+G466+B470+C470+D470+E470+F470&lt;31,E466+F466+G466+B470+C470+D470+E470+F470,30),2),0)+ROUND(((B478/G462)*(B466+B473+B475+C472+D466)),2)),0),0),0)</f>
        <v>0</v>
      </c>
      <c r="I463" s="151">
        <f>ROUND(D462*ROUND(B480*150%,2)+E462*ROUND(B480*200%,2),2)</f>
        <v>0</v>
      </c>
      <c r="J463" s="151">
        <f>ROUND((J461*H463),2)</f>
        <v>0</v>
      </c>
      <c r="K463" s="151"/>
      <c r="L463" s="151">
        <f>IF(C462&gt;0,C462*ROUND(B480*U$3,2),0)+IF(U$3=0,IF(C462&gt;0,C462*ROUND(20%*ROUND(E$1/G462,2),2),0))</f>
        <v>0</v>
      </c>
      <c r="M463" s="151">
        <f>IF(B466&gt;0,ROUND((B466*C475),2),0)</f>
        <v>0</v>
      </c>
      <c r="N463" s="151">
        <f>IF(B462+D462+E462+F462&gt;0,ROUND((((H463+I463+J463+L463+O463)/(B462+D462+E462+F462))*D466),2),B480*D466)</f>
        <v>0</v>
      </c>
      <c r="O463" s="151">
        <f>ROUND((F462*B480),2)</f>
        <v>0</v>
      </c>
      <c r="P463" s="151">
        <f>IF(C466&gt;0,ROUND((D475/($I$1*8*B487)),2)*C466,0)</f>
        <v>0</v>
      </c>
      <c r="Q463" s="151"/>
      <c r="R463" s="152"/>
      <c r="S463" s="153">
        <f>IF(G480&gt;500,G480-500,0)+IF(F480&gt;190,F480-190,0)</f>
        <v>0</v>
      </c>
      <c r="T463" s="593"/>
      <c r="U463" s="594"/>
      <c r="V463" s="154"/>
    </row>
    <row r="464" spans="1:21" ht="57" customHeight="1">
      <c r="A464" s="568"/>
      <c r="B464" s="554"/>
      <c r="C464" s="554"/>
      <c r="D464" s="554"/>
      <c r="E464" s="599" t="s">
        <v>112</v>
      </c>
      <c r="F464" s="599"/>
      <c r="G464" s="598"/>
      <c r="H464" s="600" t="s">
        <v>113</v>
      </c>
      <c r="I464" s="601"/>
      <c r="J464" s="601"/>
      <c r="K464" s="601"/>
      <c r="L464" s="601"/>
      <c r="M464" s="602">
        <f>H469+I469+M465</f>
        <v>0</v>
      </c>
      <c r="N464" s="603"/>
      <c r="O464" s="604" t="s">
        <v>114</v>
      </c>
      <c r="P464" s="604"/>
      <c r="Q464" s="604"/>
      <c r="R464" s="604"/>
      <c r="S464" s="156">
        <f>S465+O469</f>
        <v>0</v>
      </c>
      <c r="T464" s="605"/>
      <c r="U464" s="606"/>
    </row>
    <row r="465" spans="1:21" ht="38.25" customHeight="1">
      <c r="A465" s="568"/>
      <c r="B465" s="157"/>
      <c r="C465" s="131"/>
      <c r="D465" s="131"/>
      <c r="E465" s="158">
        <v>0.8</v>
      </c>
      <c r="F465" s="158">
        <v>1</v>
      </c>
      <c r="G465" s="159">
        <v>0.8</v>
      </c>
      <c r="H465" s="607" t="s">
        <v>115</v>
      </c>
      <c r="I465" s="608"/>
      <c r="J465" s="609" t="s">
        <v>116</v>
      </c>
      <c r="K465" s="610"/>
      <c r="L465" s="610"/>
      <c r="M465" s="611">
        <f>SUM(J469:N469)</f>
        <v>0</v>
      </c>
      <c r="N465" s="612"/>
      <c r="O465" s="160" t="s">
        <v>117</v>
      </c>
      <c r="P465" s="613" t="s">
        <v>118</v>
      </c>
      <c r="Q465" s="614"/>
      <c r="R465" s="615"/>
      <c r="S465" s="161">
        <f>SUM(P469:S469)</f>
        <v>0</v>
      </c>
      <c r="T465" s="616"/>
      <c r="U465" s="617"/>
    </row>
    <row r="466" spans="1:21" ht="40.5" customHeight="1">
      <c r="A466" s="568"/>
      <c r="B466" s="137"/>
      <c r="C466" s="137"/>
      <c r="D466" s="137"/>
      <c r="E466" s="137"/>
      <c r="F466" s="137"/>
      <c r="G466" s="139"/>
      <c r="H466" s="618" t="s">
        <v>119</v>
      </c>
      <c r="I466" s="162"/>
      <c r="J466" s="620" t="s">
        <v>120</v>
      </c>
      <c r="K466" s="595" t="s">
        <v>121</v>
      </c>
      <c r="L466" s="595" t="s">
        <v>122</v>
      </c>
      <c r="M466" s="595" t="s">
        <v>123</v>
      </c>
      <c r="N466" s="163" t="s">
        <v>124</v>
      </c>
      <c r="O466" s="622" t="s">
        <v>125</v>
      </c>
      <c r="P466" s="624" t="s">
        <v>126</v>
      </c>
      <c r="Q466" s="584" t="s">
        <v>127</v>
      </c>
      <c r="R466" s="634" t="s">
        <v>128</v>
      </c>
      <c r="S466" s="633" t="s">
        <v>129</v>
      </c>
      <c r="T466" s="164"/>
      <c r="U466" s="165"/>
    </row>
    <row r="467" spans="1:21" ht="39.75" customHeight="1">
      <c r="A467" s="568"/>
      <c r="B467" s="571" t="s">
        <v>110</v>
      </c>
      <c r="C467" s="571" t="s">
        <v>130</v>
      </c>
      <c r="D467" s="571" t="s">
        <v>131</v>
      </c>
      <c r="E467" s="571" t="s">
        <v>132</v>
      </c>
      <c r="F467" s="571" t="s">
        <v>110</v>
      </c>
      <c r="G467" s="166" t="s">
        <v>133</v>
      </c>
      <c r="H467" s="619"/>
      <c r="I467" s="167"/>
      <c r="J467" s="621"/>
      <c r="K467" s="554"/>
      <c r="L467" s="554"/>
      <c r="M467" s="554"/>
      <c r="N467" s="168" t="s">
        <v>134</v>
      </c>
      <c r="O467" s="623"/>
      <c r="P467" s="624"/>
      <c r="Q467" s="584"/>
      <c r="R467" s="634"/>
      <c r="S467" s="633"/>
      <c r="T467" s="627">
        <f>I479-S480-P479</f>
        <v>0</v>
      </c>
      <c r="U467" s="628"/>
    </row>
    <row r="468" spans="1:21" ht="35.25" customHeight="1">
      <c r="A468" s="568"/>
      <c r="B468" s="572"/>
      <c r="C468" s="572"/>
      <c r="D468" s="572"/>
      <c r="E468" s="572"/>
      <c r="F468" s="572"/>
      <c r="G468" s="139"/>
      <c r="H468" s="169">
        <f aca="true" t="shared" si="43" ref="H468:M468">IF(H469&gt;0,1,0)</f>
        <v>0</v>
      </c>
      <c r="I468" s="170">
        <f t="shared" si="43"/>
        <v>0</v>
      </c>
      <c r="J468" s="171">
        <f t="shared" si="43"/>
        <v>0</v>
      </c>
      <c r="K468" s="172">
        <f t="shared" si="43"/>
        <v>0</v>
      </c>
      <c r="L468" s="173">
        <f t="shared" si="43"/>
        <v>0</v>
      </c>
      <c r="M468" s="173">
        <f t="shared" si="43"/>
        <v>0</v>
      </c>
      <c r="N468" s="174">
        <v>0</v>
      </c>
      <c r="O468" s="175">
        <f>IF(O469&gt;0,1,0)</f>
        <v>0</v>
      </c>
      <c r="P468" s="171">
        <f>IF(P469&gt;0,1,0)</f>
        <v>0</v>
      </c>
      <c r="Q468" s="173">
        <f>IF(Q469&gt;0,1,0)</f>
        <v>0</v>
      </c>
      <c r="R468" s="173">
        <f>IF(R469&gt;0,1,0)</f>
        <v>0</v>
      </c>
      <c r="S468" s="176">
        <f>IF(S469&gt;0,1,0)</f>
        <v>0</v>
      </c>
      <c r="T468" s="627"/>
      <c r="U468" s="628"/>
    </row>
    <row r="469" spans="1:21" ht="36" customHeight="1" thickBot="1">
      <c r="A469" s="568"/>
      <c r="B469" s="177">
        <v>1</v>
      </c>
      <c r="C469" s="177">
        <v>0.8</v>
      </c>
      <c r="D469" s="572"/>
      <c r="E469" s="572"/>
      <c r="F469" s="177">
        <v>0.7</v>
      </c>
      <c r="G469" s="178">
        <v>0</v>
      </c>
      <c r="H469" s="179">
        <f>IF(E466&gt;0,ROUND((C480*E465),2)*E466,0)+IF(F466&gt;0,C480*F466,0)</f>
        <v>0</v>
      </c>
      <c r="I469" s="180"/>
      <c r="J469" s="181">
        <f>IF(G462&gt;0,IF(B462&gt;=G462,E475-((E475/22)*F475),(E475-(ROUND(((E475/22)*(((G462-B462)/8*B487)+F475)),2))))-IF(B462=0,0,0)-IF(B462&lt;=F475*8*B487,E475-ROUND(((E475/22)*(((G462-B462)/8*B487)+F475)),2),0),0)</f>
        <v>0</v>
      </c>
      <c r="K469" s="182">
        <f>G478-R469</f>
        <v>0</v>
      </c>
      <c r="L469" s="182">
        <f>IF(F480&gt;0,IF(F480&lt;190,F480,190),0)</f>
        <v>0</v>
      </c>
      <c r="M469" s="182"/>
      <c r="N469" s="183">
        <f>IF(N468&gt;0,L$3*B487*N468,0)</f>
        <v>0</v>
      </c>
      <c r="O469" s="184">
        <f>IF(C487&lt;=$P$2,IF(G480&gt;0,IF(G480&lt;500,G480,500),0),0)</f>
        <v>0</v>
      </c>
      <c r="P469" s="181">
        <f>IF(G475&gt;0,ROUND(((G475/G462)*B462),2),0)+G474</f>
        <v>0</v>
      </c>
      <c r="Q469" s="182">
        <f>IF(F473&gt;0,ROUND((F473/G462)*B462,2),0)</f>
        <v>0</v>
      </c>
      <c r="R469" s="182">
        <f>IF(G478&gt;0,IF(G478&lt;380,G478,380),0)</f>
        <v>0</v>
      </c>
      <c r="S469" s="185"/>
      <c r="T469" s="627"/>
      <c r="U469" s="628"/>
    </row>
    <row r="470" spans="1:21" ht="60" customHeight="1" thickBot="1" thickTop="1">
      <c r="A470" s="568"/>
      <c r="B470" s="137"/>
      <c r="C470" s="137"/>
      <c r="D470" s="137"/>
      <c r="E470" s="137"/>
      <c r="F470" s="137"/>
      <c r="G470" s="139">
        <f>IF(L458+L471-Q469-P469-K479-J469&gt;$F$1,IF(G469&gt;0,IF(((H479-S480-L485-L479-J469-K469-L469-O482+P487)*(100%-G469))&gt;=(($F$1*B487)-IF(ROUND(((ROUND(($F$1-C487),0.1)*E487)-D487),0.1)&gt;0,ROUND(((ROUND(($F$1-C487),0.1)*E487)-D487),0.1),0)),((H479-S480-L485-L479-J469-K469-L469-O482+P487)*G469)))+IF(G469&gt;0,IF(((H479-S480-L485-L479-J469-K469-L469-O482+P487)*(100%-G469))&lt;(($F$1*B487)-IF(ROUND(((ROUND(($F$1-C487),0.1)*E487)-D487),0.1)&gt;0,ROUND(((ROUND(($F$1-C487),0.1)*E487)-D487),0.1),0)),(H479-S480-L485-L479-J469-K469-L469-O482+P487)-(($F$1*B487)-IF(ROUND(((ROUND(($F$1-C487),0.1)*E487)-D487),0.1)&gt;0,ROUND(((ROUND(($F$1-C487),0.1)*E487)-D487),0.1),0)))),0)</f>
        <v>0</v>
      </c>
      <c r="H470" s="629" t="s">
        <v>135</v>
      </c>
      <c r="I470" s="630"/>
      <c r="J470" s="630"/>
      <c r="K470" s="575">
        <f>L471+P470</f>
        <v>0</v>
      </c>
      <c r="L470" s="576"/>
      <c r="M470" s="631" t="s">
        <v>136</v>
      </c>
      <c r="N470" s="632"/>
      <c r="O470" s="632"/>
      <c r="P470" s="575">
        <f>P471+S471</f>
        <v>0</v>
      </c>
      <c r="Q470" s="575"/>
      <c r="R470" s="186"/>
      <c r="S470" s="186"/>
      <c r="T470" s="187">
        <v>200</v>
      </c>
      <c r="U470" s="188">
        <f>ROUND(((1400/'[1]Li-pł zlec'!$V$1)*'[1]LI-PŁ-prac'!T470),2)+((H469+L471)-ROUND(((H469+L471)*$N$3),2))+O472+P472+P474+R474+S474-O479-L479-M479</f>
        <v>1750</v>
      </c>
    </row>
    <row r="471" spans="1:21" ht="119.25" customHeight="1">
      <c r="A471" s="568"/>
      <c r="B471" s="189" t="s">
        <v>137</v>
      </c>
      <c r="C471" s="190" t="s">
        <v>138</v>
      </c>
      <c r="D471" s="595" t="s">
        <v>139</v>
      </c>
      <c r="E471" s="649" t="s">
        <v>307</v>
      </c>
      <c r="F471" s="191" t="s">
        <v>140</v>
      </c>
      <c r="G471" s="192" t="s">
        <v>141</v>
      </c>
      <c r="H471" s="651" t="s">
        <v>142</v>
      </c>
      <c r="I471" s="652"/>
      <c r="J471" s="652"/>
      <c r="K471" s="652"/>
      <c r="L471" s="193">
        <f>SUM(H474:L474)</f>
        <v>0</v>
      </c>
      <c r="M471" s="625"/>
      <c r="N471" s="626"/>
      <c r="O471" s="626"/>
      <c r="P471" s="193"/>
      <c r="Q471" s="635"/>
      <c r="R471" s="636"/>
      <c r="S471" s="194"/>
      <c r="T471" s="637"/>
      <c r="U471" s="638"/>
    </row>
    <row r="472" spans="1:21" ht="141" customHeight="1" thickBot="1">
      <c r="A472" s="568"/>
      <c r="B472" s="195" t="s">
        <v>143</v>
      </c>
      <c r="C472" s="196"/>
      <c r="D472" s="554"/>
      <c r="E472" s="650"/>
      <c r="F472" s="197">
        <f>IF(F473&gt;0,1,0)</f>
        <v>0</v>
      </c>
      <c r="G472" s="155" t="s">
        <v>308</v>
      </c>
      <c r="H472" s="198" t="s">
        <v>144</v>
      </c>
      <c r="I472" s="199" t="s">
        <v>145</v>
      </c>
      <c r="J472" s="199" t="s">
        <v>146</v>
      </c>
      <c r="K472" s="199" t="s">
        <v>147</v>
      </c>
      <c r="L472" s="200" t="s">
        <v>148</v>
      </c>
      <c r="M472" s="201"/>
      <c r="N472" s="202"/>
      <c r="O472" s="203"/>
      <c r="P472" s="204"/>
      <c r="Q472" s="205"/>
      <c r="R472" s="206"/>
      <c r="S472" s="207"/>
      <c r="T472" s="637"/>
      <c r="U472" s="638"/>
    </row>
    <row r="473" spans="1:21" ht="51.75" customHeight="1">
      <c r="A473" s="568"/>
      <c r="B473" s="208"/>
      <c r="C473" s="595" t="s">
        <v>149</v>
      </c>
      <c r="D473" s="554"/>
      <c r="E473" s="209"/>
      <c r="F473" s="210">
        <f>IF(T459&gt;0,$H$3,0)</f>
        <v>0</v>
      </c>
      <c r="G473" s="211">
        <f>IF(G474+G475&gt;0,1,0)</f>
        <v>0</v>
      </c>
      <c r="H473" s="212">
        <f>IF(H474&gt;0,1,0)</f>
        <v>0</v>
      </c>
      <c r="I473" s="213">
        <f>IF(I474&gt;0,1,0)</f>
        <v>0</v>
      </c>
      <c r="J473" s="213">
        <f>IF(J474&gt;0,1,0)</f>
        <v>0</v>
      </c>
      <c r="K473" s="213">
        <f>IF(K474&gt;0,1,0)</f>
        <v>0</v>
      </c>
      <c r="L473" s="214">
        <f>IF(L474&gt;0,1,0)</f>
        <v>0</v>
      </c>
      <c r="M473" s="639" t="s">
        <v>150</v>
      </c>
      <c r="N473" s="640"/>
      <c r="O473" s="641"/>
      <c r="P473" s="642"/>
      <c r="Q473" s="215"/>
      <c r="R473" s="216"/>
      <c r="S473" s="217"/>
      <c r="T473" s="643"/>
      <c r="U473" s="644"/>
    </row>
    <row r="474" spans="1:21" ht="60.75" customHeight="1" thickBot="1">
      <c r="A474" s="568"/>
      <c r="B474" s="218" t="s">
        <v>151</v>
      </c>
      <c r="C474" s="554"/>
      <c r="D474" s="131"/>
      <c r="E474" s="219">
        <f>IF(E473&gt;0,C$3,0)</f>
        <v>0</v>
      </c>
      <c r="F474" s="220" t="s">
        <v>152</v>
      </c>
      <c r="G474" s="221"/>
      <c r="H474" s="179">
        <f>IF(G466&gt;0,(ROUND((C480*G465),2)*G466),0)+IF(B470&gt;0,(ROUND((C480*B469),2)*B470),0)+IF(F470&gt;0,(ROUND((C480*F469),2)*F470),0)</f>
        <v>0</v>
      </c>
      <c r="I474" s="182">
        <f>IF(E470&gt;0,(ROUND(((D480*D479)/30),2)*E470),0)</f>
        <v>0</v>
      </c>
      <c r="J474" s="182">
        <f>IF(C470&gt;0,(ROUND(C480*C469,2)*C470),0)</f>
        <v>0</v>
      </c>
      <c r="K474" s="182">
        <f>IF(D470&gt;0,(ROUND(C480,2)*D470),0)</f>
        <v>0</v>
      </c>
      <c r="L474" s="222">
        <f>E480</f>
        <v>0</v>
      </c>
      <c r="M474" s="645">
        <f>Q459+M464+L471</f>
        <v>0</v>
      </c>
      <c r="N474" s="646"/>
      <c r="O474" s="202"/>
      <c r="P474" s="223"/>
      <c r="Q474" s="224"/>
      <c r="R474" s="182"/>
      <c r="S474" s="185"/>
      <c r="T474" s="695" t="s">
        <v>153</v>
      </c>
      <c r="U474" s="696"/>
    </row>
    <row r="475" spans="1:21" ht="41.25" customHeight="1" thickTop="1">
      <c r="A475" s="568"/>
      <c r="B475" s="208"/>
      <c r="C475" s="208"/>
      <c r="D475" s="208"/>
      <c r="E475" s="203">
        <f>ROUND((E473*E474),2)</f>
        <v>0</v>
      </c>
      <c r="F475" s="225"/>
      <c r="G475" s="226"/>
      <c r="H475" s="653" t="s">
        <v>309</v>
      </c>
      <c r="I475" s="655" t="s">
        <v>154</v>
      </c>
      <c r="J475" s="657" t="s">
        <v>155</v>
      </c>
      <c r="K475" s="660" t="s">
        <v>156</v>
      </c>
      <c r="L475" s="661" t="s">
        <v>157</v>
      </c>
      <c r="M475" s="661"/>
      <c r="N475" s="661"/>
      <c r="O475" s="662"/>
      <c r="P475" s="663" t="s">
        <v>158</v>
      </c>
      <c r="Q475" s="227" t="s">
        <v>159</v>
      </c>
      <c r="R475" s="228" t="s">
        <v>160</v>
      </c>
      <c r="S475" s="229" t="s">
        <v>161</v>
      </c>
      <c r="T475" s="695" t="s">
        <v>162</v>
      </c>
      <c r="U475" s="696"/>
    </row>
    <row r="476" spans="1:21" ht="92.25" customHeight="1">
      <c r="A476" s="568"/>
      <c r="B476" s="664" t="s">
        <v>163</v>
      </c>
      <c r="C476" s="117" t="s">
        <v>164</v>
      </c>
      <c r="D476" s="337" t="s">
        <v>165</v>
      </c>
      <c r="E476" s="146" t="s">
        <v>166</v>
      </c>
      <c r="F476" s="697" t="s">
        <v>167</v>
      </c>
      <c r="G476" s="191" t="s">
        <v>168</v>
      </c>
      <c r="H476" s="654"/>
      <c r="I476" s="656"/>
      <c r="J476" s="658"/>
      <c r="K476" s="584"/>
      <c r="L476" s="232" t="s">
        <v>169</v>
      </c>
      <c r="M476" s="123" t="s">
        <v>170</v>
      </c>
      <c r="N476" s="136" t="s">
        <v>171</v>
      </c>
      <c r="O476" s="136" t="s">
        <v>172</v>
      </c>
      <c r="P476" s="556"/>
      <c r="Q476" s="233">
        <f>ROUND(IF(S481&gt;$N$4,IF(S481&lt;=$O$4,7866.25+((S481-$N$4)*$O$3)),0)+IF(S481&gt;$O$4,20177.65+((S481-$O$4)*$P$3),0)+IF(S481&lt;=$N$4,IF(S481*E487&gt;0,S481*E487),0),0.1)</f>
        <v>0</v>
      </c>
      <c r="R476" s="234">
        <f>IF(L471&gt;0,ROUND((ROUND((L471),0.1)*E487),0.1),0)</f>
        <v>0</v>
      </c>
      <c r="S476" s="235">
        <f>IF(Q476+R476-D487&gt;=0,Q476+R476-D487,0)+IF(D487-Q476+R476&gt;0&lt;D487+0.001,Q476+R476-D487,0)</f>
        <v>0</v>
      </c>
      <c r="T476" s="695" t="s">
        <v>173</v>
      </c>
      <c r="U476" s="696"/>
    </row>
    <row r="477" spans="1:21" ht="36.75" customHeight="1">
      <c r="A477" s="568"/>
      <c r="B477" s="665"/>
      <c r="C477" s="230"/>
      <c r="D477" s="236"/>
      <c r="E477" s="237"/>
      <c r="F477" s="698"/>
      <c r="G477" s="239" t="s">
        <v>310</v>
      </c>
      <c r="H477" s="654"/>
      <c r="I477" s="656"/>
      <c r="J477" s="658"/>
      <c r="K477" s="584"/>
      <c r="L477" s="123"/>
      <c r="M477" s="240"/>
      <c r="N477" s="241"/>
      <c r="O477" s="136"/>
      <c r="P477" s="556"/>
      <c r="Q477" s="668" t="s">
        <v>174</v>
      </c>
      <c r="R477" s="669"/>
      <c r="S477" s="235">
        <f>ROUND(IF(S476&gt;=L487,S476-L487,0),0.1)</f>
        <v>0</v>
      </c>
      <c r="T477" s="338" t="str">
        <f>L$8</f>
        <v>styczeń</v>
      </c>
      <c r="U477" s="339" t="str">
        <f>N$8</f>
        <v>2011 r.</v>
      </c>
    </row>
    <row r="478" spans="1:21" ht="48" customHeight="1">
      <c r="A478" s="568"/>
      <c r="B478" s="244">
        <f>IF(B479=0,IF(T459&gt;0,IF(T464&gt;0,IF(T464="I kl",O$1)+IF(T464="II kl",P$1)+IF(T464="III kl",Q$1),ROUND((E$1*B487),2)),0),0)</f>
        <v>0</v>
      </c>
      <c r="C478" s="118" t="s">
        <v>175</v>
      </c>
      <c r="D478" s="123" t="s">
        <v>176</v>
      </c>
      <c r="E478" s="245"/>
      <c r="F478" s="698"/>
      <c r="G478" s="139"/>
      <c r="H478" s="246">
        <f>IF(H479&gt;0,1,0)</f>
        <v>0</v>
      </c>
      <c r="I478" s="247">
        <f>IF(I479&gt;0,1,0)</f>
        <v>0</v>
      </c>
      <c r="J478" s="658"/>
      <c r="K478" s="248">
        <f aca="true" t="shared" si="44" ref="K478:P478">IF(K479&gt;0,1,0)</f>
        <v>0</v>
      </c>
      <c r="L478" s="249">
        <f t="shared" si="44"/>
        <v>0</v>
      </c>
      <c r="M478" s="250">
        <f t="shared" si="44"/>
        <v>0</v>
      </c>
      <c r="N478" s="249">
        <f t="shared" si="44"/>
        <v>0</v>
      </c>
      <c r="O478" s="251">
        <f t="shared" si="44"/>
        <v>0</v>
      </c>
      <c r="P478" s="252">
        <f t="shared" si="44"/>
        <v>0</v>
      </c>
      <c r="Q478" s="670" t="s">
        <v>177</v>
      </c>
      <c r="R478" s="253" t="s">
        <v>178</v>
      </c>
      <c r="S478" s="235">
        <v>0</v>
      </c>
      <c r="T478" s="647" t="s">
        <v>179</v>
      </c>
      <c r="U478" s="648"/>
    </row>
    <row r="479" spans="1:21" ht="57.75" customHeight="1" thickBot="1">
      <c r="A479" s="568"/>
      <c r="B479" s="254"/>
      <c r="C479" s="230"/>
      <c r="D479" s="177">
        <v>0.9</v>
      </c>
      <c r="E479" s="255">
        <f>IF(E477&gt;0,$U$1-E478,0)</f>
        <v>0</v>
      </c>
      <c r="F479" s="238">
        <f>IF(F480&gt;0,1,0)</f>
        <v>0</v>
      </c>
      <c r="G479" s="256" t="s">
        <v>180</v>
      </c>
      <c r="H479" s="257">
        <f>P458+L471-P487</f>
        <v>0</v>
      </c>
      <c r="I479" s="233">
        <f>L458+K470</f>
        <v>0</v>
      </c>
      <c r="J479" s="659"/>
      <c r="K479" s="244">
        <f>S463+K469+L469+O469+R469+O482+L485-N479</f>
        <v>0</v>
      </c>
      <c r="L479" s="244"/>
      <c r="M479" s="244">
        <f>G468+IF(G470&gt;0,G470,0)</f>
        <v>0</v>
      </c>
      <c r="N479" s="244">
        <f>L485-L487</f>
        <v>0</v>
      </c>
      <c r="O479" s="244"/>
      <c r="P479" s="258">
        <f>SUM(K479:O479)</f>
        <v>0</v>
      </c>
      <c r="Q479" s="671"/>
      <c r="R479" s="259" t="s">
        <v>181</v>
      </c>
      <c r="S479" s="235">
        <v>0</v>
      </c>
      <c r="T479" s="647" t="s">
        <v>182</v>
      </c>
      <c r="U479" s="648"/>
    </row>
    <row r="480" spans="1:21" ht="45.75" customHeight="1" thickBot="1" thickTop="1">
      <c r="A480" s="569"/>
      <c r="B480" s="244">
        <f>IF(B479=0,ROUND(IF(B478&gt;0,CEILING((B478/G462),0.01),B479),2),B479)</f>
        <v>0</v>
      </c>
      <c r="C480" s="244">
        <f>IF(T459&gt;0,(IF(C477&gt;0,ROUND(((C477-(C477*(B483+C483+D483)))/30),2),0)+IF(C479&gt;0,ROUND((C479/30),2),0))+(IF(IF(C477&gt;0,ROUND(((C477-(C477*(B483+C483+D483)))/30),2),0)+IF(C479&gt;0,ROUND((C479/30),2),0)&lt;ROUND((($F$1*B487)/30),2),(IF(C477+C479&gt;0,ROUND((($F$1*B487)/30),2)-(IF(C477&gt;0,ROUND(((C477-(C477*(B483+C483+D483)))/30),2),0)+IF(C479&gt;0,ROUND((C479/30),2),0)))),0)),0)</f>
        <v>0</v>
      </c>
      <c r="D480" s="244"/>
      <c r="E480" s="244">
        <f>IF(E479&gt;0,IF(ROUND(E477-((E477/30)*E478),2)-H482+O482&gt;0,ROUND(E477-((E477/30)*E478),2)-H482+O482,0),0)</f>
        <v>0</v>
      </c>
      <c r="F480" s="137"/>
      <c r="G480" s="139"/>
      <c r="H480" s="672" t="s">
        <v>183</v>
      </c>
      <c r="I480" s="673"/>
      <c r="J480" s="673"/>
      <c r="K480" s="673"/>
      <c r="L480" s="673"/>
      <c r="M480" s="674" t="s">
        <v>184</v>
      </c>
      <c r="N480" s="675"/>
      <c r="O480" s="260" t="s">
        <v>185</v>
      </c>
      <c r="P480" s="261" t="s">
        <v>186</v>
      </c>
      <c r="Q480" s="676" t="s">
        <v>187</v>
      </c>
      <c r="R480" s="677"/>
      <c r="S480" s="262">
        <f>ROUND((IF(S477-S478&gt;=0,S477-S478,0)+S479),0.1)</f>
        <v>0</v>
      </c>
      <c r="T480" s="263" t="str">
        <f>L$8</f>
        <v>styczeń</v>
      </c>
      <c r="U480" s="264" t="str">
        <f>N$8</f>
        <v>2011 r.</v>
      </c>
    </row>
    <row r="481" spans="1:21" ht="69.75" customHeight="1" thickBot="1" thickTop="1">
      <c r="A481" s="568"/>
      <c r="B481" s="699" t="s">
        <v>188</v>
      </c>
      <c r="C481" s="700"/>
      <c r="D481" s="700"/>
      <c r="E481" s="701"/>
      <c r="F481" s="265" t="s">
        <v>189</v>
      </c>
      <c r="G481" s="266" t="s">
        <v>190</v>
      </c>
      <c r="H481" s="267" t="s">
        <v>191</v>
      </c>
      <c r="I481" s="268" t="s">
        <v>192</v>
      </c>
      <c r="J481" s="269" t="s">
        <v>193</v>
      </c>
      <c r="K481" s="238" t="s">
        <v>194</v>
      </c>
      <c r="L481" s="270" t="s">
        <v>195</v>
      </c>
      <c r="M481" s="198" t="s">
        <v>196</v>
      </c>
      <c r="N481" s="271" t="s">
        <v>197</v>
      </c>
      <c r="O481" s="294" t="s">
        <v>198</v>
      </c>
      <c r="P481" s="273" t="s">
        <v>199</v>
      </c>
      <c r="Q481" s="340" t="s">
        <v>200</v>
      </c>
      <c r="R481" s="275" t="s">
        <v>201</v>
      </c>
      <c r="S481" s="276">
        <f>IF(ROUND((P458-P487-C487),0.1)&gt;0,ROUND((P458-P487-C487),0.1),0)</f>
        <v>0</v>
      </c>
      <c r="T481" s="277"/>
      <c r="U481" s="278"/>
    </row>
    <row r="482" spans="1:21" ht="81" customHeight="1" thickTop="1">
      <c r="A482" s="568"/>
      <c r="B482" s="279" t="s">
        <v>202</v>
      </c>
      <c r="C482" s="279" t="s">
        <v>203</v>
      </c>
      <c r="D482" s="279" t="s">
        <v>204</v>
      </c>
      <c r="E482" s="279" t="s">
        <v>205</v>
      </c>
      <c r="F482" s="279" t="s">
        <v>206</v>
      </c>
      <c r="G482" s="280">
        <f>ROUND((H482*G484),2)</f>
        <v>0</v>
      </c>
      <c r="H482" s="281">
        <f>Q459+O469</f>
        <v>0</v>
      </c>
      <c r="I482" s="282">
        <f>Q459+O469</f>
        <v>0</v>
      </c>
      <c r="J482" s="282">
        <f>Q459+O469</f>
        <v>0</v>
      </c>
      <c r="K482" s="282">
        <f>Q459+O469</f>
        <v>0</v>
      </c>
      <c r="L482" s="283">
        <f>Q459+H469+I469-O482+O469</f>
        <v>0</v>
      </c>
      <c r="M482" s="284">
        <f>IF(D477&gt;0,IF(D477&lt;$U$1,ROUND((($E$1/$U$1)*D477),2),$E$1))+IF(K474&gt;0,K474,0)</f>
        <v>0</v>
      </c>
      <c r="N482" s="285">
        <f>M482</f>
        <v>0</v>
      </c>
      <c r="O482" s="286">
        <f>SUM(H485:J485)</f>
        <v>0</v>
      </c>
      <c r="P482" s="287">
        <f>IF(P483&gt;0,1,0)</f>
        <v>0</v>
      </c>
      <c r="Q482" s="288">
        <f>ROUND((H482-O469-P487+H469+I469)*$R$3,2)</f>
        <v>0</v>
      </c>
      <c r="R482" s="681" t="s">
        <v>207</v>
      </c>
      <c r="S482" s="683" t="s">
        <v>311</v>
      </c>
      <c r="T482" s="289"/>
      <c r="U482" s="278"/>
    </row>
    <row r="483" spans="1:21" ht="38.25" customHeight="1">
      <c r="A483" s="568"/>
      <c r="B483" s="158">
        <f>IF(H482&gt;0,B$2,0)</f>
        <v>0</v>
      </c>
      <c r="C483" s="158">
        <f>IF(I482&gt;0,H$4,0)</f>
        <v>0</v>
      </c>
      <c r="D483" s="158">
        <f>IF(J482&gt;0,F$2,0)</f>
        <v>0</v>
      </c>
      <c r="E483" s="158" t="s">
        <v>208</v>
      </c>
      <c r="F483" s="290" t="s">
        <v>209</v>
      </c>
      <c r="G483" s="291">
        <v>0</v>
      </c>
      <c r="H483" s="685" t="s">
        <v>210</v>
      </c>
      <c r="I483" s="686"/>
      <c r="J483" s="686"/>
      <c r="K483" s="686"/>
      <c r="L483" s="686"/>
      <c r="M483" s="292" t="s">
        <v>211</v>
      </c>
      <c r="N483" s="293" t="s">
        <v>212</v>
      </c>
      <c r="O483" s="294" t="s">
        <v>213</v>
      </c>
      <c r="P483" s="52">
        <f>IF(I482&lt;$E$1,IF(B487=1,IF(T464=0,ROUND((I482*$L$2),2),0),0),ROUND((I482*$L$2),2))</f>
        <v>0</v>
      </c>
      <c r="Q483" s="295" t="s">
        <v>214</v>
      </c>
      <c r="R483" s="682"/>
      <c r="S483" s="684"/>
      <c r="T483" s="289"/>
      <c r="U483" s="278"/>
    </row>
    <row r="484" spans="1:21" ht="42.75" customHeight="1" thickBot="1">
      <c r="A484" s="568"/>
      <c r="B484" s="158">
        <f>IF(H482&gt;0,B$2,0)</f>
        <v>0</v>
      </c>
      <c r="C484" s="158">
        <f>IF(I482&gt;0,D$2,0)</f>
        <v>0</v>
      </c>
      <c r="D484" s="158" t="s">
        <v>208</v>
      </c>
      <c r="E484" s="158">
        <f>IF(K482&gt;0,H$2,0)</f>
        <v>0</v>
      </c>
      <c r="F484" s="158">
        <f>IF(L482&gt;0,J$2,0)</f>
        <v>0</v>
      </c>
      <c r="G484" s="158">
        <f>IF(G483&gt;0,L$1,0)</f>
        <v>0</v>
      </c>
      <c r="H484" s="296" t="s">
        <v>215</v>
      </c>
      <c r="I484" s="297" t="s">
        <v>215</v>
      </c>
      <c r="J484" s="297" t="s">
        <v>215</v>
      </c>
      <c r="K484" s="298" t="s">
        <v>209</v>
      </c>
      <c r="L484" s="299" t="s">
        <v>215</v>
      </c>
      <c r="M484" s="300">
        <f>ROUND(M482*(B$2+B$2),2)</f>
        <v>0</v>
      </c>
      <c r="N484" s="301">
        <f>ROUND(N482*(D$2+H$4),2)</f>
        <v>0</v>
      </c>
      <c r="O484" s="302">
        <f>H487+I487+K487+G482</f>
        <v>0</v>
      </c>
      <c r="P484" s="303" t="s">
        <v>216</v>
      </c>
      <c r="Q484" s="304">
        <f>ROUND((L482*J$2),2)</f>
        <v>0</v>
      </c>
      <c r="R484" s="305" t="s">
        <v>217</v>
      </c>
      <c r="S484" s="684"/>
      <c r="T484" s="289"/>
      <c r="U484" s="278"/>
    </row>
    <row r="485" spans="1:21" ht="53.25" customHeight="1" thickBot="1" thickTop="1">
      <c r="A485" s="568"/>
      <c r="B485" s="141">
        <f>IF(B483+B484&gt;0,1,0)</f>
        <v>0</v>
      </c>
      <c r="C485" s="141">
        <f>IF(C483+C484&gt;0,1,0)</f>
        <v>0</v>
      </c>
      <c r="D485" s="141">
        <f>IF(D483&gt;0,1,0)</f>
        <v>0</v>
      </c>
      <c r="E485" s="141">
        <f>IF(E484&gt;0,1,0)</f>
        <v>0</v>
      </c>
      <c r="F485" s="141">
        <f>IF(F484&gt;0,1,0)</f>
        <v>0</v>
      </c>
      <c r="G485" s="141">
        <f>IF(G484&gt;0,1,0)</f>
        <v>0</v>
      </c>
      <c r="H485" s="306">
        <f>ROUND(H482*B483,2)</f>
        <v>0</v>
      </c>
      <c r="I485" s="307">
        <f>ROUND(I482*C483,2)</f>
        <v>0</v>
      </c>
      <c r="J485" s="307">
        <f>ROUND(J482*D483,2)</f>
        <v>0</v>
      </c>
      <c r="K485" s="244" t="s">
        <v>209</v>
      </c>
      <c r="L485" s="307">
        <f>IF(S476&gt;=ROUND(L482*F484,2),ROUND(L482*F484,2),S476)</f>
        <v>0</v>
      </c>
      <c r="M485" s="687" t="s">
        <v>218</v>
      </c>
      <c r="N485" s="688"/>
      <c r="O485" s="689" t="s">
        <v>219</v>
      </c>
      <c r="P485" s="308">
        <f>IF(P486&gt;0,1,0)</f>
        <v>0</v>
      </c>
      <c r="Q485" s="309" t="s">
        <v>220</v>
      </c>
      <c r="R485" s="310">
        <f>IF(B462=G462,H463+I463+J463+L463+O463+R463+IF(K463&gt;0,ROUND((K463/K461),2),0),0)+IF(B462&lt;G462,IF(B462&gt;0,ROUND((((H463+J463)/B462)*(G462-B475)),2)+IF(K463&gt;0,ROUND((K463/K461),2),0)+I463+L463+O463+R463,0),0)</f>
        <v>0</v>
      </c>
      <c r="S485" s="235">
        <f>IF(S477-S478&lt;0,S478-S477,0)</f>
        <v>0</v>
      </c>
      <c r="T485" s="289"/>
      <c r="U485" s="278"/>
    </row>
    <row r="486" spans="1:22" ht="63" customHeight="1" thickBot="1" thickTop="1">
      <c r="A486" s="568"/>
      <c r="B486" s="311" t="s">
        <v>221</v>
      </c>
      <c r="C486" s="311" t="s">
        <v>222</v>
      </c>
      <c r="D486" s="311" t="s">
        <v>34</v>
      </c>
      <c r="E486" s="146" t="s">
        <v>223</v>
      </c>
      <c r="F486" s="312" t="s">
        <v>224</v>
      </c>
      <c r="G486" s="139">
        <f>IF(Q482&gt;Q476,Q482-Q476,0)</f>
        <v>0</v>
      </c>
      <c r="H486" s="313" t="s">
        <v>225</v>
      </c>
      <c r="I486" s="314" t="s">
        <v>225</v>
      </c>
      <c r="J486" s="298" t="s">
        <v>209</v>
      </c>
      <c r="K486" s="315" t="s">
        <v>225</v>
      </c>
      <c r="L486" s="316" t="s">
        <v>226</v>
      </c>
      <c r="M486" s="317" t="s">
        <v>227</v>
      </c>
      <c r="N486" s="318" t="s">
        <v>228</v>
      </c>
      <c r="O486" s="690"/>
      <c r="P486" s="319">
        <f>ROUND(N$2*H482,2)</f>
        <v>0</v>
      </c>
      <c r="Q486" s="320">
        <f>IF(D477&gt;0,$U$2,0)</f>
        <v>0</v>
      </c>
      <c r="R486" s="321" t="s">
        <v>229</v>
      </c>
      <c r="S486" s="322" t="s">
        <v>230</v>
      </c>
      <c r="T486" s="691" t="s">
        <v>231</v>
      </c>
      <c r="U486" s="702"/>
      <c r="V486" s="323">
        <f>IF(ISBLANK(AM458),0,IF(IF(AF473&gt;=AI$2,AI$2,AF473)&gt;0,IF(AF473&gt;=AI$2,AI$2,AF473),0))</f>
        <v>0</v>
      </c>
    </row>
    <row r="487" spans="1:22" ht="42" customHeight="1" thickBot="1" thickTop="1">
      <c r="A487" s="570"/>
      <c r="B487" s="324">
        <f>IF(ISBLANK(T459),0,1)</f>
        <v>0</v>
      </c>
      <c r="C487" s="324">
        <f>IF(ISBLANK(T459),0,IF(IF(M474&gt;=P$2,P$2,M474)&gt;0,IF(M474&gt;=P$2,P$2,M474),0))</f>
        <v>0</v>
      </c>
      <c r="D487" s="324">
        <f>IF(ISBLANK(T459),0,S$1)</f>
        <v>0</v>
      </c>
      <c r="E487" s="325">
        <f>IF(G462&gt;0,$N$3,0)</f>
        <v>0</v>
      </c>
      <c r="F487" s="326">
        <f>O482+O484+P483+P486+L485+S480</f>
        <v>0</v>
      </c>
      <c r="G487" s="327">
        <f>IF(G486&gt;0,1,0)</f>
        <v>0</v>
      </c>
      <c r="H487" s="328">
        <f>ROUND(H482*B483,2)</f>
        <v>0</v>
      </c>
      <c r="I487" s="329">
        <f>ROUND(I482*C484,2)</f>
        <v>0</v>
      </c>
      <c r="J487" s="182" t="s">
        <v>209</v>
      </c>
      <c r="K487" s="330">
        <f>ROUND(K482*E484,2)</f>
        <v>0</v>
      </c>
      <c r="L487" s="185">
        <f>IF(S476&gt;=ROUND((H482-O469-P487+H469+I469)*$R$3,2),ROUND((H482-O469-P487+H469+I469)*$R$3,2),S476)</f>
        <v>0</v>
      </c>
      <c r="M487" s="179">
        <f>O482+O484</f>
        <v>0</v>
      </c>
      <c r="N487" s="331">
        <f>M487+L485</f>
        <v>0</v>
      </c>
      <c r="O487" s="332">
        <f>SUM(M484:N484)</f>
        <v>0</v>
      </c>
      <c r="P487" s="333">
        <f>ROUND(Q459*B483,2)+ROUND(Q459*C483,2)+ROUND(Q459*D483,2)</f>
        <v>0</v>
      </c>
      <c r="Q487" s="334">
        <f>IF(D477&gt;0,ROUND(($U$2*J$2),2),0)</f>
        <v>0</v>
      </c>
      <c r="R487" s="335">
        <f>IF(B462&gt;=G462/2,IF(B462=G462,H463+I463+J463+L463+O463+P463+R463+IF(K463&gt;0,ROUND((K463/K461),2),0),ROUND((((H463+J463+L463)/B462)*(G462-B475)),2)+IF(K463&gt;0,ROUND((K463/K461),2),0)+I463+O463+P463+R463),0)</f>
        <v>0</v>
      </c>
      <c r="S487" s="336">
        <f>IF(P458-O482-S480-L485&gt;0,P458-O482-S480-L485,0)</f>
        <v>0</v>
      </c>
      <c r="T487" s="693" t="s">
        <v>232</v>
      </c>
      <c r="U487" s="703"/>
      <c r="V487" s="323">
        <f>IF(ISBLANK(AM459),0,IF(IF(AF474&gt;=AJ$2,AJ$2,AF474)&gt;0,IF(AF474&gt;=AJ$2,AJ$2,AF474),0))</f>
        <v>0</v>
      </c>
    </row>
    <row r="488" ht="24" customHeight="1" thickTop="1"/>
    <row r="489" spans="1:23" ht="33" customHeight="1" thickBot="1">
      <c r="A489" s="111" t="s">
        <v>72</v>
      </c>
      <c r="B489" s="112" t="s">
        <v>73</v>
      </c>
      <c r="C489" s="113"/>
      <c r="D489" s="113"/>
      <c r="E489" s="114"/>
      <c r="F489" s="553" t="s">
        <v>74</v>
      </c>
      <c r="G489" s="555" t="s">
        <v>75</v>
      </c>
      <c r="H489" s="557" t="s">
        <v>76</v>
      </c>
      <c r="I489" s="557"/>
      <c r="J489" s="558"/>
      <c r="K489" s="559"/>
      <c r="L489" s="560"/>
      <c r="M489" s="560"/>
      <c r="N489" s="560"/>
      <c r="O489" s="561"/>
      <c r="P489" s="559"/>
      <c r="Q489" s="560"/>
      <c r="R489" s="560"/>
      <c r="S489" s="560"/>
      <c r="T489" s="565" t="s">
        <v>77</v>
      </c>
      <c r="U489" s="566"/>
      <c r="V489" s="102"/>
      <c r="W489" s="115"/>
    </row>
    <row r="490" spans="1:23" ht="44.25" customHeight="1" thickBot="1" thickTop="1">
      <c r="A490" s="567">
        <f>A458+1</f>
        <v>16</v>
      </c>
      <c r="B490" s="571" t="s">
        <v>79</v>
      </c>
      <c r="C490" s="571" t="s">
        <v>80</v>
      </c>
      <c r="D490" s="573" t="s">
        <v>81</v>
      </c>
      <c r="E490" s="573"/>
      <c r="F490" s="554"/>
      <c r="G490" s="556"/>
      <c r="H490" s="574" t="s">
        <v>82</v>
      </c>
      <c r="I490" s="574"/>
      <c r="J490" s="574"/>
      <c r="K490" s="574"/>
      <c r="L490" s="575">
        <f>P490+S496</f>
        <v>0</v>
      </c>
      <c r="M490" s="576"/>
      <c r="N490" s="577" t="s">
        <v>83</v>
      </c>
      <c r="O490" s="578"/>
      <c r="P490" s="575">
        <f>Q491+M496</f>
        <v>0</v>
      </c>
      <c r="Q490" s="576"/>
      <c r="R490" s="119"/>
      <c r="S490" s="120"/>
      <c r="T490" s="121"/>
      <c r="U490" s="122"/>
      <c r="V490" s="102"/>
      <c r="W490" s="115"/>
    </row>
    <row r="491" spans="1:23" ht="36.75" customHeight="1">
      <c r="A491" s="568"/>
      <c r="B491" s="572"/>
      <c r="C491" s="572"/>
      <c r="D491" s="124" t="s">
        <v>85</v>
      </c>
      <c r="E491" s="124" t="s">
        <v>86</v>
      </c>
      <c r="F491" s="554"/>
      <c r="G491" s="556"/>
      <c r="H491" s="562" t="s">
        <v>87</v>
      </c>
      <c r="I491" s="563"/>
      <c r="J491" s="563"/>
      <c r="K491" s="563"/>
      <c r="L491" s="563"/>
      <c r="M491" s="563"/>
      <c r="N491" s="563"/>
      <c r="O491" s="563"/>
      <c r="P491" s="564"/>
      <c r="Q491" s="579">
        <f>SUM(H495:S495)</f>
        <v>0</v>
      </c>
      <c r="R491" s="580"/>
      <c r="S491" s="125"/>
      <c r="T491" s="581"/>
      <c r="U491" s="582"/>
      <c r="V491" s="102"/>
      <c r="W491" s="115"/>
    </row>
    <row r="492" spans="1:23" ht="38.25" customHeight="1">
      <c r="A492" s="568"/>
      <c r="B492" s="572"/>
      <c r="C492" s="126"/>
      <c r="D492" s="124" t="s">
        <v>89</v>
      </c>
      <c r="E492" s="124" t="s">
        <v>89</v>
      </c>
      <c r="F492" s="554"/>
      <c r="G492" s="127"/>
      <c r="H492" s="128" t="s">
        <v>90</v>
      </c>
      <c r="I492" s="129" t="s">
        <v>91</v>
      </c>
      <c r="J492" s="129" t="s">
        <v>92</v>
      </c>
      <c r="K492" s="130" t="s">
        <v>93</v>
      </c>
      <c r="L492" s="583" t="s">
        <v>94</v>
      </c>
      <c r="M492" s="583" t="s">
        <v>95</v>
      </c>
      <c r="N492" s="583" t="s">
        <v>96</v>
      </c>
      <c r="O492" s="585" t="s">
        <v>97</v>
      </c>
      <c r="P492" s="583" t="s">
        <v>98</v>
      </c>
      <c r="Q492" s="587" t="s">
        <v>99</v>
      </c>
      <c r="R492" s="589" t="s">
        <v>100</v>
      </c>
      <c r="S492" s="591" t="s">
        <v>101</v>
      </c>
      <c r="T492" s="581"/>
      <c r="U492" s="582"/>
      <c r="V492" s="102"/>
      <c r="W492" s="115"/>
    </row>
    <row r="493" spans="1:23" ht="30" customHeight="1">
      <c r="A493" s="568"/>
      <c r="B493" s="572"/>
      <c r="C493" s="131"/>
      <c r="D493" s="131"/>
      <c r="E493" s="131"/>
      <c r="F493" s="554"/>
      <c r="G493" s="127"/>
      <c r="H493" s="132" t="s">
        <v>103</v>
      </c>
      <c r="I493" s="133" t="s">
        <v>104</v>
      </c>
      <c r="J493" s="134">
        <v>0</v>
      </c>
      <c r="K493" s="135">
        <v>1</v>
      </c>
      <c r="L493" s="584"/>
      <c r="M493" s="584"/>
      <c r="N493" s="584"/>
      <c r="O493" s="586"/>
      <c r="P493" s="584"/>
      <c r="Q493" s="588"/>
      <c r="R493" s="590"/>
      <c r="S493" s="592"/>
      <c r="T493" s="581"/>
      <c r="U493" s="582"/>
      <c r="V493" s="102"/>
      <c r="W493" s="115"/>
    </row>
    <row r="494" spans="1:21" ht="51" customHeight="1">
      <c r="A494" s="568"/>
      <c r="B494" s="137">
        <f>G494</f>
        <v>0</v>
      </c>
      <c r="C494" s="137"/>
      <c r="D494" s="137"/>
      <c r="E494" s="138"/>
      <c r="F494" s="138"/>
      <c r="G494" s="139">
        <f>B$1*B519</f>
        <v>0</v>
      </c>
      <c r="H494" s="140">
        <f aca="true" t="shared" si="45" ref="H494:S494">IF(H495&gt;0,1,0)</f>
        <v>0</v>
      </c>
      <c r="I494" s="141">
        <f t="shared" si="45"/>
        <v>0</v>
      </c>
      <c r="J494" s="141">
        <f t="shared" si="45"/>
        <v>0</v>
      </c>
      <c r="K494" s="142">
        <f t="shared" si="45"/>
        <v>0</v>
      </c>
      <c r="L494" s="142">
        <f t="shared" si="45"/>
        <v>0</v>
      </c>
      <c r="M494" s="142">
        <f t="shared" si="45"/>
        <v>0</v>
      </c>
      <c r="N494" s="142">
        <f t="shared" si="45"/>
        <v>0</v>
      </c>
      <c r="O494" s="141">
        <f t="shared" si="45"/>
        <v>0</v>
      </c>
      <c r="P494" s="142">
        <f t="shared" si="45"/>
        <v>0</v>
      </c>
      <c r="Q494" s="142">
        <f t="shared" si="45"/>
        <v>0</v>
      </c>
      <c r="R494" s="143">
        <f t="shared" si="45"/>
        <v>0</v>
      </c>
      <c r="S494" s="144">
        <f t="shared" si="45"/>
        <v>0</v>
      </c>
      <c r="T494" s="593"/>
      <c r="U494" s="594"/>
    </row>
    <row r="495" spans="1:22" ht="49.5" customHeight="1" thickBot="1">
      <c r="A495" s="568"/>
      <c r="B495" s="595" t="s">
        <v>106</v>
      </c>
      <c r="C495" s="595" t="s">
        <v>107</v>
      </c>
      <c r="D495" s="596" t="s">
        <v>108</v>
      </c>
      <c r="E495" s="148" t="s">
        <v>109</v>
      </c>
      <c r="F495" s="149"/>
      <c r="G495" s="597" t="s">
        <v>110</v>
      </c>
      <c r="H495" s="150">
        <f>IF(B494+B498+B505+B507+C504+D498+F495&gt;0,IF(B510&gt;0,B510-(IF(E498+F498+G498+B502+C502+D502+E502+F502&gt;0,ROUND((B510/30)*IF(E498+F498+G498+B502+C502+D502+E502+F502&lt;31,E498+F498+G498+B502+C502+D502+E502+F502,30),2),0)+ROUND(((B510/G494)*(B498+B505+B507+C504+D498)),2)),0),0)+IF(B494&gt;G494,IF(B510&gt;0,(B494-G494)*B512,0),0)+IF(B511&gt;0,B511*B494,0)-IF(IF(B494+B498+B505+B507+C504+D498+F495&gt;0,IF(B510&gt;0,B510-(IF(E498+F498+G498+B502+C502+D502+E502+F502&gt;0,ROUND((B510/30)*IF(E498+F498+G498+B502+C502+D502+E502+F502&lt;31,E498+F498+G498+B502+C502+D502+E502+F502,30),2),0)+ROUND(((B510/G494)*(B498+B505+B507+C504+D498)),2)),0),0)&lt;0,IF(B494+B498+B505+B507+C504+D498+F495&gt;0,IF(B510&gt;0,B510-(IF(E498+F498+G498+B502+C502+D502+E502+F502&gt;0,ROUND((B510/30)*IF(E498+F498+G498+B502+C502+D502+E502+F502&lt;31,E498+F498+G498+B502+C502+D502+E502+F502,30),2),0)+ROUND(((B510/G494)*(B498+B505+B507+C504+D498)),2)),0),0),0)</f>
        <v>0</v>
      </c>
      <c r="I495" s="151">
        <f>ROUND(D494*ROUND(B512*150%,2)+E494*ROUND(B512*200%,2),2)</f>
        <v>0</v>
      </c>
      <c r="J495" s="151">
        <f>ROUND((J493*H495),2)</f>
        <v>0</v>
      </c>
      <c r="K495" s="151"/>
      <c r="L495" s="151">
        <f>IF(C494&gt;0,C494*ROUND(B512*U$3,2),0)+IF(U$3=0,IF(C494&gt;0,C494*ROUND(20%*ROUND(E$1/G494,2),2),0))</f>
        <v>0</v>
      </c>
      <c r="M495" s="151">
        <f>IF(B498&gt;0,ROUND((B498*C507),2),0)</f>
        <v>0</v>
      </c>
      <c r="N495" s="151">
        <f>IF(B494+D494+E494+F494&gt;0,ROUND((((H495+I495+J495+L495+O495)/(B494+D494+E494+F494))*D498),2),B512*D498)</f>
        <v>0</v>
      </c>
      <c r="O495" s="151">
        <f>ROUND((F494*B512),2)</f>
        <v>0</v>
      </c>
      <c r="P495" s="151">
        <f>IF(C498&gt;0,ROUND((D507/($I$1*8*B519)),2)*C498,0)</f>
        <v>0</v>
      </c>
      <c r="Q495" s="151"/>
      <c r="R495" s="152"/>
      <c r="S495" s="153">
        <f>IF(G512&gt;500,G512-500,0)+IF(F512&gt;190,F512-190,0)</f>
        <v>0</v>
      </c>
      <c r="T495" s="593"/>
      <c r="U495" s="594"/>
      <c r="V495" s="154"/>
    </row>
    <row r="496" spans="1:21" ht="57" customHeight="1">
      <c r="A496" s="568"/>
      <c r="B496" s="554"/>
      <c r="C496" s="554"/>
      <c r="D496" s="554"/>
      <c r="E496" s="599" t="s">
        <v>112</v>
      </c>
      <c r="F496" s="599"/>
      <c r="G496" s="598"/>
      <c r="H496" s="600" t="s">
        <v>113</v>
      </c>
      <c r="I496" s="601"/>
      <c r="J496" s="601"/>
      <c r="K496" s="601"/>
      <c r="L496" s="601"/>
      <c r="M496" s="602">
        <f>H501+I501+M497</f>
        <v>0</v>
      </c>
      <c r="N496" s="603"/>
      <c r="O496" s="604" t="s">
        <v>114</v>
      </c>
      <c r="P496" s="604"/>
      <c r="Q496" s="604"/>
      <c r="R496" s="604"/>
      <c r="S496" s="156">
        <f>S497+O501</f>
        <v>0</v>
      </c>
      <c r="T496" s="605"/>
      <c r="U496" s="606"/>
    </row>
    <row r="497" spans="1:21" ht="38.25" customHeight="1">
      <c r="A497" s="568"/>
      <c r="B497" s="157"/>
      <c r="C497" s="131"/>
      <c r="D497" s="131"/>
      <c r="E497" s="158">
        <v>0.8</v>
      </c>
      <c r="F497" s="158">
        <v>1</v>
      </c>
      <c r="G497" s="159">
        <v>0.8</v>
      </c>
      <c r="H497" s="607" t="s">
        <v>115</v>
      </c>
      <c r="I497" s="608"/>
      <c r="J497" s="609" t="s">
        <v>116</v>
      </c>
      <c r="K497" s="610"/>
      <c r="L497" s="610"/>
      <c r="M497" s="611">
        <f>SUM(J501:N501)</f>
        <v>0</v>
      </c>
      <c r="N497" s="612"/>
      <c r="O497" s="160" t="s">
        <v>117</v>
      </c>
      <c r="P497" s="613" t="s">
        <v>118</v>
      </c>
      <c r="Q497" s="614"/>
      <c r="R497" s="615"/>
      <c r="S497" s="161">
        <f>SUM(P501:S501)</f>
        <v>0</v>
      </c>
      <c r="T497" s="616"/>
      <c r="U497" s="617"/>
    </row>
    <row r="498" spans="1:21" ht="40.5" customHeight="1">
      <c r="A498" s="568"/>
      <c r="B498" s="137"/>
      <c r="C498" s="137"/>
      <c r="D498" s="137"/>
      <c r="E498" s="137"/>
      <c r="F498" s="137"/>
      <c r="G498" s="139"/>
      <c r="H498" s="618" t="s">
        <v>119</v>
      </c>
      <c r="I498" s="162"/>
      <c r="J498" s="620" t="s">
        <v>120</v>
      </c>
      <c r="K498" s="595" t="s">
        <v>121</v>
      </c>
      <c r="L498" s="595" t="s">
        <v>122</v>
      </c>
      <c r="M498" s="595" t="s">
        <v>123</v>
      </c>
      <c r="N498" s="163" t="s">
        <v>124</v>
      </c>
      <c r="O498" s="622" t="s">
        <v>125</v>
      </c>
      <c r="P498" s="624" t="s">
        <v>126</v>
      </c>
      <c r="Q498" s="584" t="s">
        <v>127</v>
      </c>
      <c r="R498" s="634" t="s">
        <v>128</v>
      </c>
      <c r="S498" s="633" t="s">
        <v>129</v>
      </c>
      <c r="T498" s="164"/>
      <c r="U498" s="165"/>
    </row>
    <row r="499" spans="1:21" ht="39.75" customHeight="1">
      <c r="A499" s="568"/>
      <c r="B499" s="571" t="s">
        <v>110</v>
      </c>
      <c r="C499" s="571" t="s">
        <v>130</v>
      </c>
      <c r="D499" s="571" t="s">
        <v>131</v>
      </c>
      <c r="E499" s="571" t="s">
        <v>132</v>
      </c>
      <c r="F499" s="571" t="s">
        <v>110</v>
      </c>
      <c r="G499" s="166" t="s">
        <v>133</v>
      </c>
      <c r="H499" s="619"/>
      <c r="I499" s="167"/>
      <c r="J499" s="621"/>
      <c r="K499" s="554"/>
      <c r="L499" s="554"/>
      <c r="M499" s="554"/>
      <c r="N499" s="168" t="s">
        <v>134</v>
      </c>
      <c r="O499" s="623"/>
      <c r="P499" s="624"/>
      <c r="Q499" s="584"/>
      <c r="R499" s="634"/>
      <c r="S499" s="633"/>
      <c r="T499" s="627">
        <f>I511-S512-P511</f>
        <v>0</v>
      </c>
      <c r="U499" s="628"/>
    </row>
    <row r="500" spans="1:21" ht="35.25" customHeight="1">
      <c r="A500" s="568"/>
      <c r="B500" s="572"/>
      <c r="C500" s="572"/>
      <c r="D500" s="572"/>
      <c r="E500" s="572"/>
      <c r="F500" s="572"/>
      <c r="G500" s="139"/>
      <c r="H500" s="169">
        <f aca="true" t="shared" si="46" ref="H500:M500">IF(H501&gt;0,1,0)</f>
        <v>0</v>
      </c>
      <c r="I500" s="170">
        <f t="shared" si="46"/>
        <v>0</v>
      </c>
      <c r="J500" s="171">
        <f t="shared" si="46"/>
        <v>0</v>
      </c>
      <c r="K500" s="172">
        <f t="shared" si="46"/>
        <v>0</v>
      </c>
      <c r="L500" s="173">
        <f t="shared" si="46"/>
        <v>0</v>
      </c>
      <c r="M500" s="173">
        <f t="shared" si="46"/>
        <v>0</v>
      </c>
      <c r="N500" s="174">
        <v>0</v>
      </c>
      <c r="O500" s="175">
        <f>IF(O501&gt;0,1,0)</f>
        <v>0</v>
      </c>
      <c r="P500" s="171">
        <f>IF(P501&gt;0,1,0)</f>
        <v>0</v>
      </c>
      <c r="Q500" s="173">
        <f>IF(Q501&gt;0,1,0)</f>
        <v>0</v>
      </c>
      <c r="R500" s="173">
        <f>IF(R501&gt;0,1,0)</f>
        <v>0</v>
      </c>
      <c r="S500" s="176">
        <f>IF(S501&gt;0,1,0)</f>
        <v>0</v>
      </c>
      <c r="T500" s="627"/>
      <c r="U500" s="628"/>
    </row>
    <row r="501" spans="1:21" ht="36" customHeight="1" thickBot="1">
      <c r="A501" s="568"/>
      <c r="B501" s="177">
        <v>1</v>
      </c>
      <c r="C501" s="177">
        <v>0.8</v>
      </c>
      <c r="D501" s="572"/>
      <c r="E501" s="572"/>
      <c r="F501" s="177">
        <v>0.7</v>
      </c>
      <c r="G501" s="178">
        <v>0</v>
      </c>
      <c r="H501" s="179">
        <f>IF(E498&gt;0,ROUND((C512*E497),2)*E498,0)+IF(F498&gt;0,C512*F498,0)</f>
        <v>0</v>
      </c>
      <c r="I501" s="180"/>
      <c r="J501" s="181">
        <f>IF(G494&gt;0,IF(B494&gt;=G494,E507-((E507/22)*F507),(E507-(ROUND(((E507/22)*(((G494-B494)/8*B519)+F507)),2))))-IF(B494=0,0,0)-IF(B494&lt;=F507*8*B519,E507-ROUND(((E507/22)*(((G494-B494)/8*B519)+F507)),2),0),0)</f>
        <v>0</v>
      </c>
      <c r="K501" s="182">
        <f>G510-R501</f>
        <v>0</v>
      </c>
      <c r="L501" s="182">
        <f>IF(F512&gt;0,IF(F512&lt;190,F512,190),0)</f>
        <v>0</v>
      </c>
      <c r="M501" s="182"/>
      <c r="N501" s="183">
        <f>IF(N500&gt;0,L$3*B519*N500,0)</f>
        <v>0</v>
      </c>
      <c r="O501" s="184">
        <f>IF(C519&lt;=$P$2,IF(G512&gt;0,IF(G512&lt;500,G512,500),0),0)</f>
        <v>0</v>
      </c>
      <c r="P501" s="181">
        <f>IF(G507&gt;0,ROUND(((G507/G494)*B494),2),0)+G506</f>
        <v>0</v>
      </c>
      <c r="Q501" s="182">
        <f>IF(F505&gt;0,ROUND((F505/G494)*B494,2),0)</f>
        <v>0</v>
      </c>
      <c r="R501" s="182">
        <f>IF(G510&gt;0,IF(G510&lt;380,G510,380),0)</f>
        <v>0</v>
      </c>
      <c r="S501" s="185"/>
      <c r="T501" s="627"/>
      <c r="U501" s="628"/>
    </row>
    <row r="502" spans="1:21" ht="60" customHeight="1" thickBot="1" thickTop="1">
      <c r="A502" s="568"/>
      <c r="B502" s="137"/>
      <c r="C502" s="137"/>
      <c r="D502" s="137"/>
      <c r="E502" s="137"/>
      <c r="F502" s="137"/>
      <c r="G502" s="139">
        <f>IF(L490+L503-Q501-P501-K511-J501&gt;$F$1,IF(G501&gt;0,IF(((H511-S512-L517-L511-J501-K501-L501-O514+P519)*(100%-G501))&gt;=(($F$1*B519)-IF(ROUND(((ROUND(($F$1-C519),0.1)*E519)-D519),0.1)&gt;0,ROUND(((ROUND(($F$1-C519),0.1)*E519)-D519),0.1),0)),((H511-S512-L517-L511-J501-K501-L501-O514+P519)*G501)))+IF(G501&gt;0,IF(((H511-S512-L517-L511-J501-K501-L501-O514+P519)*(100%-G501))&lt;(($F$1*B519)-IF(ROUND(((ROUND(($F$1-C519),0.1)*E519)-D519),0.1)&gt;0,ROUND(((ROUND(($F$1-C519),0.1)*E519)-D519),0.1),0)),(H511-S512-L517-L511-J501-K501-L501-O514+P519)-(($F$1*B519)-IF(ROUND(((ROUND(($F$1-C519),0.1)*E519)-D519),0.1)&gt;0,ROUND(((ROUND(($F$1-C519),0.1)*E519)-D519),0.1),0)))),0)</f>
        <v>0</v>
      </c>
      <c r="H502" s="629" t="s">
        <v>135</v>
      </c>
      <c r="I502" s="630"/>
      <c r="J502" s="630"/>
      <c r="K502" s="575">
        <f>L503+P502</f>
        <v>0</v>
      </c>
      <c r="L502" s="576"/>
      <c r="M502" s="631" t="s">
        <v>136</v>
      </c>
      <c r="N502" s="632"/>
      <c r="O502" s="632"/>
      <c r="P502" s="575">
        <f>P503+S503</f>
        <v>0</v>
      </c>
      <c r="Q502" s="575"/>
      <c r="R502" s="186"/>
      <c r="S502" s="186"/>
      <c r="T502" s="187">
        <v>200</v>
      </c>
      <c r="U502" s="188">
        <f>ROUND(((1400/'[1]Li-pł zlec'!$V$1)*'[1]LI-PŁ-prac'!T502),2)+((H501+L503)-ROUND(((H501+L503)*$N$3),2))+O504+P504+P506+R506+S506-O511-L511-M511</f>
        <v>1750</v>
      </c>
    </row>
    <row r="503" spans="1:21" ht="119.25" customHeight="1">
      <c r="A503" s="568"/>
      <c r="B503" s="189" t="s">
        <v>137</v>
      </c>
      <c r="C503" s="190" t="s">
        <v>138</v>
      </c>
      <c r="D503" s="595" t="s">
        <v>139</v>
      </c>
      <c r="E503" s="649" t="s">
        <v>307</v>
      </c>
      <c r="F503" s="191" t="s">
        <v>140</v>
      </c>
      <c r="G503" s="192" t="s">
        <v>141</v>
      </c>
      <c r="H503" s="651" t="s">
        <v>142</v>
      </c>
      <c r="I503" s="652"/>
      <c r="J503" s="652"/>
      <c r="K503" s="652"/>
      <c r="L503" s="193">
        <f>SUM(H506:L506)</f>
        <v>0</v>
      </c>
      <c r="M503" s="625"/>
      <c r="N503" s="626"/>
      <c r="O503" s="626"/>
      <c r="P503" s="193"/>
      <c r="Q503" s="635"/>
      <c r="R503" s="636"/>
      <c r="S503" s="194"/>
      <c r="T503" s="637"/>
      <c r="U503" s="638"/>
    </row>
    <row r="504" spans="1:21" ht="141" customHeight="1" thickBot="1">
      <c r="A504" s="568"/>
      <c r="B504" s="195" t="s">
        <v>143</v>
      </c>
      <c r="C504" s="196"/>
      <c r="D504" s="554"/>
      <c r="E504" s="650"/>
      <c r="F504" s="197">
        <f>IF(F505&gt;0,1,0)</f>
        <v>0</v>
      </c>
      <c r="G504" s="155" t="s">
        <v>308</v>
      </c>
      <c r="H504" s="198" t="s">
        <v>144</v>
      </c>
      <c r="I504" s="199" t="s">
        <v>145</v>
      </c>
      <c r="J504" s="199" t="s">
        <v>146</v>
      </c>
      <c r="K504" s="199" t="s">
        <v>147</v>
      </c>
      <c r="L504" s="200" t="s">
        <v>148</v>
      </c>
      <c r="M504" s="201"/>
      <c r="N504" s="202"/>
      <c r="O504" s="203"/>
      <c r="P504" s="204"/>
      <c r="Q504" s="205"/>
      <c r="R504" s="206"/>
      <c r="S504" s="207"/>
      <c r="T504" s="637"/>
      <c r="U504" s="638"/>
    </row>
    <row r="505" spans="1:21" ht="51.75" customHeight="1">
      <c r="A505" s="568"/>
      <c r="B505" s="208"/>
      <c r="C505" s="595" t="s">
        <v>149</v>
      </c>
      <c r="D505" s="554"/>
      <c r="E505" s="209"/>
      <c r="F505" s="210">
        <f>IF(T491&gt;0,$H$3,0)</f>
        <v>0</v>
      </c>
      <c r="G505" s="211">
        <f>IF(G506+G507&gt;0,1,0)</f>
        <v>0</v>
      </c>
      <c r="H505" s="212">
        <f>IF(H506&gt;0,1,0)</f>
        <v>0</v>
      </c>
      <c r="I505" s="213">
        <f>IF(I506&gt;0,1,0)</f>
        <v>0</v>
      </c>
      <c r="J505" s="213">
        <f>IF(J506&gt;0,1,0)</f>
        <v>0</v>
      </c>
      <c r="K505" s="213">
        <f>IF(K506&gt;0,1,0)</f>
        <v>0</v>
      </c>
      <c r="L505" s="214">
        <f>IF(L506&gt;0,1,0)</f>
        <v>0</v>
      </c>
      <c r="M505" s="639" t="s">
        <v>150</v>
      </c>
      <c r="N505" s="640"/>
      <c r="O505" s="641"/>
      <c r="P505" s="642"/>
      <c r="Q505" s="215"/>
      <c r="R505" s="216"/>
      <c r="S505" s="217"/>
      <c r="T505" s="643"/>
      <c r="U505" s="644"/>
    </row>
    <row r="506" spans="1:21" ht="60.75" customHeight="1" thickBot="1">
      <c r="A506" s="568"/>
      <c r="B506" s="218" t="s">
        <v>151</v>
      </c>
      <c r="C506" s="554"/>
      <c r="D506" s="131"/>
      <c r="E506" s="219">
        <f>IF(E505&gt;0,C$3,0)</f>
        <v>0</v>
      </c>
      <c r="F506" s="220" t="s">
        <v>152</v>
      </c>
      <c r="G506" s="221"/>
      <c r="H506" s="179">
        <f>IF(G498&gt;0,(ROUND((C512*G497),2)*G498),0)+IF(B502&gt;0,(ROUND((C512*B501),2)*B502),0)+IF(F502&gt;0,(ROUND((C512*F501),2)*F502),0)</f>
        <v>0</v>
      </c>
      <c r="I506" s="182">
        <f>IF(E502&gt;0,(ROUND(((D512*D511)/30),2)*E502),0)</f>
        <v>0</v>
      </c>
      <c r="J506" s="182">
        <f>IF(C502&gt;0,(ROUND(C512*C501,2)*C502),0)</f>
        <v>0</v>
      </c>
      <c r="K506" s="182">
        <f>IF(D502&gt;0,(ROUND(C512,2)*D502),0)</f>
        <v>0</v>
      </c>
      <c r="L506" s="222">
        <f>E512</f>
        <v>0</v>
      </c>
      <c r="M506" s="645">
        <f>Q491+M496+L503</f>
        <v>0</v>
      </c>
      <c r="N506" s="646"/>
      <c r="O506" s="202"/>
      <c r="P506" s="223"/>
      <c r="Q506" s="224"/>
      <c r="R506" s="182"/>
      <c r="S506" s="185"/>
      <c r="T506" s="695" t="s">
        <v>153</v>
      </c>
      <c r="U506" s="696"/>
    </row>
    <row r="507" spans="1:21" ht="41.25" customHeight="1" thickTop="1">
      <c r="A507" s="568"/>
      <c r="B507" s="208"/>
      <c r="C507" s="208"/>
      <c r="D507" s="208"/>
      <c r="E507" s="203">
        <f>ROUND((E505*E506),2)</f>
        <v>0</v>
      </c>
      <c r="F507" s="225"/>
      <c r="G507" s="226"/>
      <c r="H507" s="653" t="s">
        <v>309</v>
      </c>
      <c r="I507" s="655" t="s">
        <v>154</v>
      </c>
      <c r="J507" s="657" t="s">
        <v>155</v>
      </c>
      <c r="K507" s="660" t="s">
        <v>156</v>
      </c>
      <c r="L507" s="661" t="s">
        <v>157</v>
      </c>
      <c r="M507" s="661"/>
      <c r="N507" s="661"/>
      <c r="O507" s="662"/>
      <c r="P507" s="663" t="s">
        <v>158</v>
      </c>
      <c r="Q507" s="227" t="s">
        <v>159</v>
      </c>
      <c r="R507" s="228" t="s">
        <v>160</v>
      </c>
      <c r="S507" s="229" t="s">
        <v>161</v>
      </c>
      <c r="T507" s="695" t="s">
        <v>162</v>
      </c>
      <c r="U507" s="696"/>
    </row>
    <row r="508" spans="1:21" ht="92.25" customHeight="1">
      <c r="A508" s="568"/>
      <c r="B508" s="664" t="s">
        <v>163</v>
      </c>
      <c r="C508" s="117" t="s">
        <v>164</v>
      </c>
      <c r="D508" s="337" t="s">
        <v>165</v>
      </c>
      <c r="E508" s="146" t="s">
        <v>166</v>
      </c>
      <c r="F508" s="697" t="s">
        <v>167</v>
      </c>
      <c r="G508" s="191" t="s">
        <v>168</v>
      </c>
      <c r="H508" s="654"/>
      <c r="I508" s="656"/>
      <c r="J508" s="658"/>
      <c r="K508" s="584"/>
      <c r="L508" s="232" t="s">
        <v>169</v>
      </c>
      <c r="M508" s="123" t="s">
        <v>170</v>
      </c>
      <c r="N508" s="136" t="s">
        <v>171</v>
      </c>
      <c r="O508" s="136" t="s">
        <v>172</v>
      </c>
      <c r="P508" s="556"/>
      <c r="Q508" s="233">
        <f>ROUND(IF(S513&gt;$N$4,IF(S513&lt;=$O$4,7866.25+((S513-$N$4)*$O$3)),0)+IF(S513&gt;$O$4,20177.65+((S513-$O$4)*$P$3),0)+IF(S513&lt;=$N$4,IF(S513*E519&gt;0,S513*E519),0),0.1)</f>
        <v>0</v>
      </c>
      <c r="R508" s="234">
        <f>IF(L503&gt;0,ROUND((ROUND((L503),0.1)*E519),0.1),0)</f>
        <v>0</v>
      </c>
      <c r="S508" s="235">
        <f>IF(Q508+R508-D519&gt;=0,Q508+R508-D519,0)+IF(D519-Q508+R508&gt;0&lt;D519+0.001,Q508+R508-D519,0)</f>
        <v>0</v>
      </c>
      <c r="T508" s="695" t="s">
        <v>173</v>
      </c>
      <c r="U508" s="696"/>
    </row>
    <row r="509" spans="1:21" ht="36.75" customHeight="1">
      <c r="A509" s="568"/>
      <c r="B509" s="665"/>
      <c r="C509" s="230"/>
      <c r="D509" s="236"/>
      <c r="E509" s="237"/>
      <c r="F509" s="698"/>
      <c r="G509" s="239" t="s">
        <v>310</v>
      </c>
      <c r="H509" s="654"/>
      <c r="I509" s="656"/>
      <c r="J509" s="658"/>
      <c r="K509" s="584"/>
      <c r="L509" s="123"/>
      <c r="M509" s="240"/>
      <c r="N509" s="241"/>
      <c r="O509" s="136"/>
      <c r="P509" s="556"/>
      <c r="Q509" s="668" t="s">
        <v>174</v>
      </c>
      <c r="R509" s="669"/>
      <c r="S509" s="235">
        <f>ROUND(IF(S508&gt;=L519,S508-L519,0),0.1)</f>
        <v>0</v>
      </c>
      <c r="T509" s="338" t="str">
        <f>L$8</f>
        <v>styczeń</v>
      </c>
      <c r="U509" s="339" t="str">
        <f>N$8</f>
        <v>2011 r.</v>
      </c>
    </row>
    <row r="510" spans="1:21" ht="48" customHeight="1">
      <c r="A510" s="568"/>
      <c r="B510" s="244">
        <f>IF(B511=0,IF(T491&gt;0,IF(T496&gt;0,IF(T496="I kl",O$1)+IF(T496="II kl",P$1)+IF(T496="III kl",Q$1),ROUND((E$1*B519),2)),0),0)</f>
        <v>0</v>
      </c>
      <c r="C510" s="118" t="s">
        <v>175</v>
      </c>
      <c r="D510" s="123" t="s">
        <v>176</v>
      </c>
      <c r="E510" s="245"/>
      <c r="F510" s="698"/>
      <c r="G510" s="139"/>
      <c r="H510" s="246">
        <f>IF(H511&gt;0,1,0)</f>
        <v>0</v>
      </c>
      <c r="I510" s="247">
        <f>IF(I511&gt;0,1,0)</f>
        <v>0</v>
      </c>
      <c r="J510" s="658"/>
      <c r="K510" s="248">
        <f aca="true" t="shared" si="47" ref="K510:P510">IF(K511&gt;0,1,0)</f>
        <v>0</v>
      </c>
      <c r="L510" s="249">
        <f t="shared" si="47"/>
        <v>0</v>
      </c>
      <c r="M510" s="250">
        <f t="shared" si="47"/>
        <v>0</v>
      </c>
      <c r="N510" s="249">
        <f t="shared" si="47"/>
        <v>0</v>
      </c>
      <c r="O510" s="251">
        <f t="shared" si="47"/>
        <v>0</v>
      </c>
      <c r="P510" s="252">
        <f t="shared" si="47"/>
        <v>0</v>
      </c>
      <c r="Q510" s="670" t="s">
        <v>177</v>
      </c>
      <c r="R510" s="253" t="s">
        <v>178</v>
      </c>
      <c r="S510" s="235">
        <v>0</v>
      </c>
      <c r="T510" s="647" t="s">
        <v>179</v>
      </c>
      <c r="U510" s="648"/>
    </row>
    <row r="511" spans="1:21" ht="57.75" customHeight="1" thickBot="1">
      <c r="A511" s="568"/>
      <c r="B511" s="254"/>
      <c r="C511" s="230"/>
      <c r="D511" s="177">
        <v>0.9</v>
      </c>
      <c r="E511" s="255">
        <f>IF(E509&gt;0,$U$1-E510,0)</f>
        <v>0</v>
      </c>
      <c r="F511" s="238">
        <f>IF(F512&gt;0,1,0)</f>
        <v>0</v>
      </c>
      <c r="G511" s="256" t="s">
        <v>180</v>
      </c>
      <c r="H511" s="257">
        <f>P490+L503-P519</f>
        <v>0</v>
      </c>
      <c r="I511" s="233">
        <f>L490+K502</f>
        <v>0</v>
      </c>
      <c r="J511" s="659"/>
      <c r="K511" s="244">
        <f>S495+K501+L501+O501+R501+O514+L517-N511</f>
        <v>0</v>
      </c>
      <c r="L511" s="244"/>
      <c r="M511" s="244">
        <f>G500+IF(G502&gt;0,G502,0)</f>
        <v>0</v>
      </c>
      <c r="N511" s="244">
        <f>L517-L519</f>
        <v>0</v>
      </c>
      <c r="O511" s="244"/>
      <c r="P511" s="258">
        <f>SUM(K511:O511)</f>
        <v>0</v>
      </c>
      <c r="Q511" s="671"/>
      <c r="R511" s="259" t="s">
        <v>181</v>
      </c>
      <c r="S511" s="235">
        <v>0</v>
      </c>
      <c r="T511" s="647" t="s">
        <v>182</v>
      </c>
      <c r="U511" s="648"/>
    </row>
    <row r="512" spans="1:21" ht="45.75" customHeight="1" thickBot="1" thickTop="1">
      <c r="A512" s="569"/>
      <c r="B512" s="244">
        <f>IF(B511=0,ROUND(IF(B510&gt;0,CEILING((B510/G494),0.01),B511),2),B511)</f>
        <v>0</v>
      </c>
      <c r="C512" s="244">
        <f>IF(T491&gt;0,(IF(C509&gt;0,ROUND(((C509-(C509*(B515+C515+D515)))/30),2),0)+IF(C511&gt;0,ROUND((C511/30),2),0))+(IF(IF(C509&gt;0,ROUND(((C509-(C509*(B515+C515+D515)))/30),2),0)+IF(C511&gt;0,ROUND((C511/30),2),0)&lt;ROUND((($F$1*B519)/30),2),(IF(C509+C511&gt;0,ROUND((($F$1*B519)/30),2)-(IF(C509&gt;0,ROUND(((C509-(C509*(B515+C515+D515)))/30),2),0)+IF(C511&gt;0,ROUND((C511/30),2),0)))),0)),0)</f>
        <v>0</v>
      </c>
      <c r="D512" s="244"/>
      <c r="E512" s="244">
        <f>IF(E511&gt;0,IF(ROUND(E509-((E509/30)*E510),2)-H514+O514&gt;0,ROUND(E509-((E509/30)*E510),2)-H514+O514,0),0)</f>
        <v>0</v>
      </c>
      <c r="F512" s="137"/>
      <c r="G512" s="139"/>
      <c r="H512" s="672" t="s">
        <v>183</v>
      </c>
      <c r="I512" s="673"/>
      <c r="J512" s="673"/>
      <c r="K512" s="673"/>
      <c r="L512" s="673"/>
      <c r="M512" s="674" t="s">
        <v>184</v>
      </c>
      <c r="N512" s="675"/>
      <c r="O512" s="260" t="s">
        <v>185</v>
      </c>
      <c r="P512" s="261" t="s">
        <v>186</v>
      </c>
      <c r="Q512" s="676" t="s">
        <v>187</v>
      </c>
      <c r="R512" s="677"/>
      <c r="S512" s="262">
        <f>ROUND((IF(S509-S510&gt;=0,S509-S510,0)+S511),0.1)</f>
        <v>0</v>
      </c>
      <c r="T512" s="263" t="str">
        <f>L$8</f>
        <v>styczeń</v>
      </c>
      <c r="U512" s="264" t="str">
        <f>N$8</f>
        <v>2011 r.</v>
      </c>
    </row>
    <row r="513" spans="1:21" ht="69.75" customHeight="1" thickBot="1" thickTop="1">
      <c r="A513" s="568"/>
      <c r="B513" s="699" t="s">
        <v>188</v>
      </c>
      <c r="C513" s="700"/>
      <c r="D513" s="700"/>
      <c r="E513" s="701"/>
      <c r="F513" s="265" t="s">
        <v>189</v>
      </c>
      <c r="G513" s="266" t="s">
        <v>190</v>
      </c>
      <c r="H513" s="267" t="s">
        <v>191</v>
      </c>
      <c r="I513" s="268" t="s">
        <v>192</v>
      </c>
      <c r="J513" s="269" t="s">
        <v>193</v>
      </c>
      <c r="K513" s="238" t="s">
        <v>194</v>
      </c>
      <c r="L513" s="270" t="s">
        <v>195</v>
      </c>
      <c r="M513" s="198" t="s">
        <v>196</v>
      </c>
      <c r="N513" s="271" t="s">
        <v>197</v>
      </c>
      <c r="O513" s="294" t="s">
        <v>198</v>
      </c>
      <c r="P513" s="273" t="s">
        <v>199</v>
      </c>
      <c r="Q513" s="340" t="s">
        <v>200</v>
      </c>
      <c r="R513" s="275" t="s">
        <v>201</v>
      </c>
      <c r="S513" s="276">
        <f>IF(ROUND((P490-P519-C519),0.1)&gt;0,ROUND((P490-P519-C519),0.1),0)</f>
        <v>0</v>
      </c>
      <c r="T513" s="277"/>
      <c r="U513" s="278"/>
    </row>
    <row r="514" spans="1:21" ht="81" customHeight="1" thickTop="1">
      <c r="A514" s="568"/>
      <c r="B514" s="279" t="s">
        <v>202</v>
      </c>
      <c r="C514" s="279" t="s">
        <v>203</v>
      </c>
      <c r="D514" s="279" t="s">
        <v>204</v>
      </c>
      <c r="E514" s="279" t="s">
        <v>205</v>
      </c>
      <c r="F514" s="279" t="s">
        <v>206</v>
      </c>
      <c r="G514" s="280">
        <f>ROUND((H514*G516),2)</f>
        <v>0</v>
      </c>
      <c r="H514" s="281">
        <f>Q491+O501</f>
        <v>0</v>
      </c>
      <c r="I514" s="282">
        <f>Q491+O501</f>
        <v>0</v>
      </c>
      <c r="J514" s="282">
        <f>Q491+O501</f>
        <v>0</v>
      </c>
      <c r="K514" s="282">
        <f>Q491+O501</f>
        <v>0</v>
      </c>
      <c r="L514" s="283">
        <f>Q491+H501+I501-O514+O501</f>
        <v>0</v>
      </c>
      <c r="M514" s="284">
        <f>IF(D509&gt;0,IF(D509&lt;$U$1,ROUND((($E$1/$U$1)*D509),2),$E$1))+IF(K506&gt;0,K506,0)</f>
        <v>0</v>
      </c>
      <c r="N514" s="285">
        <f>M514</f>
        <v>0</v>
      </c>
      <c r="O514" s="286">
        <f>SUM(H517:J517)</f>
        <v>0</v>
      </c>
      <c r="P514" s="287">
        <f>IF(P515&gt;0,1,0)</f>
        <v>0</v>
      </c>
      <c r="Q514" s="288">
        <f>ROUND((H514-O501-P519+H501+I501)*$R$3,2)</f>
        <v>0</v>
      </c>
      <c r="R514" s="681" t="s">
        <v>207</v>
      </c>
      <c r="S514" s="683" t="s">
        <v>311</v>
      </c>
      <c r="T514" s="289"/>
      <c r="U514" s="278"/>
    </row>
    <row r="515" spans="1:21" ht="38.25" customHeight="1">
      <c r="A515" s="568"/>
      <c r="B515" s="158">
        <f>IF(H514&gt;0,B$2,0)</f>
        <v>0</v>
      </c>
      <c r="C515" s="158">
        <f>IF(I514&gt;0,H$4,0)</f>
        <v>0</v>
      </c>
      <c r="D515" s="158">
        <f>IF(J514&gt;0,F$2,0)</f>
        <v>0</v>
      </c>
      <c r="E515" s="158" t="s">
        <v>208</v>
      </c>
      <c r="F515" s="290" t="s">
        <v>209</v>
      </c>
      <c r="G515" s="291">
        <v>0</v>
      </c>
      <c r="H515" s="685" t="s">
        <v>210</v>
      </c>
      <c r="I515" s="686"/>
      <c r="J515" s="686"/>
      <c r="K515" s="686"/>
      <c r="L515" s="686"/>
      <c r="M515" s="292" t="s">
        <v>211</v>
      </c>
      <c r="N515" s="293" t="s">
        <v>212</v>
      </c>
      <c r="O515" s="294" t="s">
        <v>213</v>
      </c>
      <c r="P515" s="52">
        <f>IF(I514&lt;$E$1,IF(B519=1,IF(T496=0,ROUND((I514*$L$2),2),0),0),ROUND((I514*$L$2),2))</f>
        <v>0</v>
      </c>
      <c r="Q515" s="295" t="s">
        <v>214</v>
      </c>
      <c r="R515" s="682"/>
      <c r="S515" s="684"/>
      <c r="T515" s="289"/>
      <c r="U515" s="278"/>
    </row>
    <row r="516" spans="1:21" ht="42.75" customHeight="1" thickBot="1">
      <c r="A516" s="568"/>
      <c r="B516" s="158">
        <f>IF(H514&gt;0,B$2,0)</f>
        <v>0</v>
      </c>
      <c r="C516" s="158">
        <f>IF(I514&gt;0,D$2,0)</f>
        <v>0</v>
      </c>
      <c r="D516" s="158" t="s">
        <v>208</v>
      </c>
      <c r="E516" s="158">
        <f>IF(K514&gt;0,H$2,0)</f>
        <v>0</v>
      </c>
      <c r="F516" s="158">
        <f>IF(L514&gt;0,J$2,0)</f>
        <v>0</v>
      </c>
      <c r="G516" s="158">
        <f>IF(G515&gt;0,L$1,0)</f>
        <v>0</v>
      </c>
      <c r="H516" s="296" t="s">
        <v>215</v>
      </c>
      <c r="I516" s="297" t="s">
        <v>215</v>
      </c>
      <c r="J516" s="297" t="s">
        <v>215</v>
      </c>
      <c r="K516" s="298" t="s">
        <v>209</v>
      </c>
      <c r="L516" s="299" t="s">
        <v>215</v>
      </c>
      <c r="M516" s="300">
        <f>ROUND(M514*(B$2+B$2),2)</f>
        <v>0</v>
      </c>
      <c r="N516" s="301">
        <f>ROUND(N514*(D$2+H$4),2)</f>
        <v>0</v>
      </c>
      <c r="O516" s="302">
        <f>H519+I519+K519+G514</f>
        <v>0</v>
      </c>
      <c r="P516" s="303" t="s">
        <v>216</v>
      </c>
      <c r="Q516" s="304">
        <f>ROUND((L514*J$2),2)</f>
        <v>0</v>
      </c>
      <c r="R516" s="305" t="s">
        <v>217</v>
      </c>
      <c r="S516" s="684"/>
      <c r="T516" s="289"/>
      <c r="U516" s="278"/>
    </row>
    <row r="517" spans="1:21" ht="53.25" customHeight="1" thickBot="1" thickTop="1">
      <c r="A517" s="568"/>
      <c r="B517" s="141">
        <f>IF(B515+B516&gt;0,1,0)</f>
        <v>0</v>
      </c>
      <c r="C517" s="141">
        <f>IF(C515+C516&gt;0,1,0)</f>
        <v>0</v>
      </c>
      <c r="D517" s="141">
        <f>IF(D515&gt;0,1,0)</f>
        <v>0</v>
      </c>
      <c r="E517" s="141">
        <f>IF(E516&gt;0,1,0)</f>
        <v>0</v>
      </c>
      <c r="F517" s="141">
        <f>IF(F516&gt;0,1,0)</f>
        <v>0</v>
      </c>
      <c r="G517" s="141">
        <f>IF(G516&gt;0,1,0)</f>
        <v>0</v>
      </c>
      <c r="H517" s="306">
        <f>ROUND(H514*B515,2)</f>
        <v>0</v>
      </c>
      <c r="I517" s="307">
        <f>ROUND(I514*C515,2)</f>
        <v>0</v>
      </c>
      <c r="J517" s="307">
        <f>ROUND(J514*D515,2)</f>
        <v>0</v>
      </c>
      <c r="K517" s="244" t="s">
        <v>209</v>
      </c>
      <c r="L517" s="307">
        <f>IF(S508&gt;=ROUND(L514*F516,2),ROUND(L514*F516,2),S508)</f>
        <v>0</v>
      </c>
      <c r="M517" s="687" t="s">
        <v>218</v>
      </c>
      <c r="N517" s="688"/>
      <c r="O517" s="689" t="s">
        <v>219</v>
      </c>
      <c r="P517" s="308">
        <f>IF(P518&gt;0,1,0)</f>
        <v>0</v>
      </c>
      <c r="Q517" s="309" t="s">
        <v>220</v>
      </c>
      <c r="R517" s="310">
        <f>IF(B494=G494,H495+I495+J495+L495+O495+R495+IF(K495&gt;0,ROUND((K495/K493),2),0),0)+IF(B494&lt;G494,IF(B494&gt;0,ROUND((((H495+J495)/B494)*(G494-B507)),2)+IF(K495&gt;0,ROUND((K495/K493),2),0)+I495+L495+O495+R495,0),0)</f>
        <v>0</v>
      </c>
      <c r="S517" s="235">
        <f>IF(S509-S510&lt;0,S510-S509,0)</f>
        <v>0</v>
      </c>
      <c r="T517" s="289"/>
      <c r="U517" s="278"/>
    </row>
    <row r="518" spans="1:22" ht="63" customHeight="1" thickBot="1" thickTop="1">
      <c r="A518" s="568"/>
      <c r="B518" s="311" t="s">
        <v>221</v>
      </c>
      <c r="C518" s="311" t="s">
        <v>222</v>
      </c>
      <c r="D518" s="311" t="s">
        <v>34</v>
      </c>
      <c r="E518" s="146" t="s">
        <v>223</v>
      </c>
      <c r="F518" s="312" t="s">
        <v>224</v>
      </c>
      <c r="G518" s="139">
        <f>IF(Q514&gt;Q508,Q514-Q508,0)</f>
        <v>0</v>
      </c>
      <c r="H518" s="313" t="s">
        <v>225</v>
      </c>
      <c r="I518" s="314" t="s">
        <v>225</v>
      </c>
      <c r="J518" s="298" t="s">
        <v>209</v>
      </c>
      <c r="K518" s="315" t="s">
        <v>225</v>
      </c>
      <c r="L518" s="316" t="s">
        <v>226</v>
      </c>
      <c r="M518" s="317" t="s">
        <v>227</v>
      </c>
      <c r="N518" s="318" t="s">
        <v>228</v>
      </c>
      <c r="O518" s="690"/>
      <c r="P518" s="319">
        <f>ROUND(N$2*H514,2)</f>
        <v>0</v>
      </c>
      <c r="Q518" s="320">
        <f>IF(D509&gt;0,$U$2,0)</f>
        <v>0</v>
      </c>
      <c r="R518" s="321" t="s">
        <v>229</v>
      </c>
      <c r="S518" s="322" t="s">
        <v>230</v>
      </c>
      <c r="T518" s="691" t="s">
        <v>231</v>
      </c>
      <c r="U518" s="702"/>
      <c r="V518" s="323">
        <f>IF(ISBLANK(AM490),0,IF(IF(AF505&gt;=AI$2,AI$2,AF505)&gt;0,IF(AF505&gt;=AI$2,AI$2,AF505),0))</f>
        <v>0</v>
      </c>
    </row>
    <row r="519" spans="1:22" ht="42" customHeight="1" thickBot="1" thickTop="1">
      <c r="A519" s="570"/>
      <c r="B519" s="324">
        <f>IF(ISBLANK(T491),0,1)</f>
        <v>0</v>
      </c>
      <c r="C519" s="324">
        <f>IF(ISBLANK(T491),0,IF(IF(M506&gt;=P$2,P$2,M506)&gt;0,IF(M506&gt;=P$2,P$2,M506),0))</f>
        <v>0</v>
      </c>
      <c r="D519" s="324">
        <f>IF(ISBLANK(T491),0,S$1)</f>
        <v>0</v>
      </c>
      <c r="E519" s="325">
        <f>IF(G494&gt;0,$N$3,0)</f>
        <v>0</v>
      </c>
      <c r="F519" s="326">
        <f>O514+O516+P515+P518+L517+S512</f>
        <v>0</v>
      </c>
      <c r="G519" s="327">
        <f>IF(G518&gt;0,1,0)</f>
        <v>0</v>
      </c>
      <c r="H519" s="328">
        <f>ROUND(H514*B515,2)</f>
        <v>0</v>
      </c>
      <c r="I519" s="329">
        <f>ROUND(I514*C516,2)</f>
        <v>0</v>
      </c>
      <c r="J519" s="182" t="s">
        <v>209</v>
      </c>
      <c r="K519" s="330">
        <f>ROUND(K514*E516,2)</f>
        <v>0</v>
      </c>
      <c r="L519" s="185">
        <f>IF(S508&gt;=ROUND((H514-O501-P519+H501+I501)*$R$3,2),ROUND((H514-O501-P519+H501+I501)*$R$3,2),S508)</f>
        <v>0</v>
      </c>
      <c r="M519" s="179">
        <f>O514+O516</f>
        <v>0</v>
      </c>
      <c r="N519" s="331">
        <f>M519+L517</f>
        <v>0</v>
      </c>
      <c r="O519" s="332">
        <f>SUM(M516:N516)</f>
        <v>0</v>
      </c>
      <c r="P519" s="333">
        <f>ROUND(Q491*B515,2)+ROUND(Q491*C515,2)+ROUND(Q491*D515,2)</f>
        <v>0</v>
      </c>
      <c r="Q519" s="334">
        <f>IF(D509&gt;0,ROUND(($U$2*J$2),2),0)</f>
        <v>0</v>
      </c>
      <c r="R519" s="335">
        <f>IF(B494&gt;=G494/2,IF(B494=G494,H495+I495+J495+L495+O495+P495+R495+IF(K495&gt;0,ROUND((K495/K493),2),0),ROUND((((H495+J495+L495)/B494)*(G494-B507)),2)+IF(K495&gt;0,ROUND((K495/K493),2),0)+I495+O495+P495+R495),0)</f>
        <v>0</v>
      </c>
      <c r="S519" s="336">
        <f>IF(P490-O514-S512-L517&gt;0,P490-O514-S512-L517,0)</f>
        <v>0</v>
      </c>
      <c r="T519" s="693" t="s">
        <v>232</v>
      </c>
      <c r="U519" s="703"/>
      <c r="V519" s="323">
        <f>IF(ISBLANK(AM491),0,IF(IF(AF506&gt;=AJ$2,AJ$2,AF506)&gt;0,IF(AF506&gt;=AJ$2,AJ$2,AF506),0))</f>
        <v>0</v>
      </c>
    </row>
    <row r="520" ht="24" customHeight="1" thickTop="1"/>
    <row r="521" spans="1:23" ht="33" customHeight="1" thickBot="1">
      <c r="A521" s="111" t="s">
        <v>72</v>
      </c>
      <c r="B521" s="112" t="s">
        <v>73</v>
      </c>
      <c r="C521" s="113"/>
      <c r="D521" s="113"/>
      <c r="E521" s="114"/>
      <c r="F521" s="553" t="s">
        <v>74</v>
      </c>
      <c r="G521" s="555" t="s">
        <v>75</v>
      </c>
      <c r="H521" s="557" t="s">
        <v>76</v>
      </c>
      <c r="I521" s="557"/>
      <c r="J521" s="558"/>
      <c r="K521" s="559"/>
      <c r="L521" s="560"/>
      <c r="M521" s="560"/>
      <c r="N521" s="560"/>
      <c r="O521" s="561"/>
      <c r="P521" s="559"/>
      <c r="Q521" s="560"/>
      <c r="R521" s="560"/>
      <c r="S521" s="560"/>
      <c r="T521" s="565" t="s">
        <v>77</v>
      </c>
      <c r="U521" s="566"/>
      <c r="V521" s="102"/>
      <c r="W521" s="115"/>
    </row>
    <row r="522" spans="1:23" ht="44.25" customHeight="1" thickBot="1" thickTop="1">
      <c r="A522" s="567">
        <f>A490+1</f>
        <v>17</v>
      </c>
      <c r="B522" s="571" t="s">
        <v>79</v>
      </c>
      <c r="C522" s="571" t="s">
        <v>80</v>
      </c>
      <c r="D522" s="573" t="s">
        <v>81</v>
      </c>
      <c r="E522" s="573"/>
      <c r="F522" s="554"/>
      <c r="G522" s="556"/>
      <c r="H522" s="574" t="s">
        <v>82</v>
      </c>
      <c r="I522" s="574"/>
      <c r="J522" s="574"/>
      <c r="K522" s="574"/>
      <c r="L522" s="575">
        <f>P522+S528</f>
        <v>0</v>
      </c>
      <c r="M522" s="576"/>
      <c r="N522" s="577" t="s">
        <v>83</v>
      </c>
      <c r="O522" s="578"/>
      <c r="P522" s="575">
        <f>Q523+M528</f>
        <v>0</v>
      </c>
      <c r="Q522" s="576"/>
      <c r="R522" s="119"/>
      <c r="S522" s="120"/>
      <c r="T522" s="121"/>
      <c r="U522" s="122"/>
      <c r="V522" s="102"/>
      <c r="W522" s="115"/>
    </row>
    <row r="523" spans="1:23" ht="36.75" customHeight="1">
      <c r="A523" s="568"/>
      <c r="B523" s="572"/>
      <c r="C523" s="572"/>
      <c r="D523" s="124" t="s">
        <v>85</v>
      </c>
      <c r="E523" s="124" t="s">
        <v>86</v>
      </c>
      <c r="F523" s="554"/>
      <c r="G523" s="556"/>
      <c r="H523" s="562" t="s">
        <v>87</v>
      </c>
      <c r="I523" s="563"/>
      <c r="J523" s="563"/>
      <c r="K523" s="563"/>
      <c r="L523" s="563"/>
      <c r="M523" s="563"/>
      <c r="N523" s="563"/>
      <c r="O523" s="563"/>
      <c r="P523" s="564"/>
      <c r="Q523" s="579">
        <f>SUM(H527:S527)</f>
        <v>0</v>
      </c>
      <c r="R523" s="580"/>
      <c r="S523" s="125"/>
      <c r="T523" s="581"/>
      <c r="U523" s="582"/>
      <c r="V523" s="102"/>
      <c r="W523" s="115"/>
    </row>
    <row r="524" spans="1:23" ht="38.25" customHeight="1">
      <c r="A524" s="568"/>
      <c r="B524" s="572"/>
      <c r="C524" s="126"/>
      <c r="D524" s="124" t="s">
        <v>89</v>
      </c>
      <c r="E524" s="124" t="s">
        <v>89</v>
      </c>
      <c r="F524" s="554"/>
      <c r="G524" s="127"/>
      <c r="H524" s="128" t="s">
        <v>90</v>
      </c>
      <c r="I524" s="129" t="s">
        <v>91</v>
      </c>
      <c r="J524" s="129" t="s">
        <v>92</v>
      </c>
      <c r="K524" s="130" t="s">
        <v>93</v>
      </c>
      <c r="L524" s="583" t="s">
        <v>94</v>
      </c>
      <c r="M524" s="583" t="s">
        <v>95</v>
      </c>
      <c r="N524" s="583" t="s">
        <v>96</v>
      </c>
      <c r="O524" s="585" t="s">
        <v>97</v>
      </c>
      <c r="P524" s="583" t="s">
        <v>98</v>
      </c>
      <c r="Q524" s="587" t="s">
        <v>99</v>
      </c>
      <c r="R524" s="589" t="s">
        <v>100</v>
      </c>
      <c r="S524" s="591" t="s">
        <v>101</v>
      </c>
      <c r="T524" s="581"/>
      <c r="U524" s="582"/>
      <c r="V524" s="102"/>
      <c r="W524" s="115"/>
    </row>
    <row r="525" spans="1:23" ht="30" customHeight="1">
      <c r="A525" s="568"/>
      <c r="B525" s="572"/>
      <c r="C525" s="131"/>
      <c r="D525" s="131"/>
      <c r="E525" s="131"/>
      <c r="F525" s="554"/>
      <c r="G525" s="127"/>
      <c r="H525" s="132" t="s">
        <v>103</v>
      </c>
      <c r="I525" s="133" t="s">
        <v>104</v>
      </c>
      <c r="J525" s="134">
        <v>0</v>
      </c>
      <c r="K525" s="135">
        <v>1</v>
      </c>
      <c r="L525" s="584"/>
      <c r="M525" s="584"/>
      <c r="N525" s="584"/>
      <c r="O525" s="586"/>
      <c r="P525" s="584"/>
      <c r="Q525" s="588"/>
      <c r="R525" s="590"/>
      <c r="S525" s="592"/>
      <c r="T525" s="581"/>
      <c r="U525" s="582"/>
      <c r="V525" s="102"/>
      <c r="W525" s="115"/>
    </row>
    <row r="526" spans="1:21" ht="51" customHeight="1">
      <c r="A526" s="568"/>
      <c r="B526" s="137">
        <f>G526</f>
        <v>0</v>
      </c>
      <c r="C526" s="137"/>
      <c r="D526" s="137"/>
      <c r="E526" s="138"/>
      <c r="F526" s="138"/>
      <c r="G526" s="139">
        <f>B$1*B551</f>
        <v>0</v>
      </c>
      <c r="H526" s="140">
        <f aca="true" t="shared" si="48" ref="H526:S526">IF(H527&gt;0,1,0)</f>
        <v>0</v>
      </c>
      <c r="I526" s="141">
        <f t="shared" si="48"/>
        <v>0</v>
      </c>
      <c r="J526" s="141">
        <f t="shared" si="48"/>
        <v>0</v>
      </c>
      <c r="K526" s="142">
        <f t="shared" si="48"/>
        <v>0</v>
      </c>
      <c r="L526" s="142">
        <f t="shared" si="48"/>
        <v>0</v>
      </c>
      <c r="M526" s="142">
        <f t="shared" si="48"/>
        <v>0</v>
      </c>
      <c r="N526" s="142">
        <f t="shared" si="48"/>
        <v>0</v>
      </c>
      <c r="O526" s="141">
        <f t="shared" si="48"/>
        <v>0</v>
      </c>
      <c r="P526" s="142">
        <f t="shared" si="48"/>
        <v>0</v>
      </c>
      <c r="Q526" s="142">
        <f t="shared" si="48"/>
        <v>0</v>
      </c>
      <c r="R526" s="143">
        <f t="shared" si="48"/>
        <v>0</v>
      </c>
      <c r="S526" s="144">
        <f t="shared" si="48"/>
        <v>0</v>
      </c>
      <c r="T526" s="593"/>
      <c r="U526" s="594"/>
    </row>
    <row r="527" spans="1:22" ht="49.5" customHeight="1" thickBot="1">
      <c r="A527" s="568"/>
      <c r="B527" s="595" t="s">
        <v>106</v>
      </c>
      <c r="C527" s="595" t="s">
        <v>107</v>
      </c>
      <c r="D527" s="596" t="s">
        <v>108</v>
      </c>
      <c r="E527" s="148" t="s">
        <v>109</v>
      </c>
      <c r="F527" s="149"/>
      <c r="G527" s="597" t="s">
        <v>110</v>
      </c>
      <c r="H527" s="150">
        <f>IF(B526+B530+B537+B539+C536+D530+F527&gt;0,IF(B542&gt;0,B542-(IF(E530+F530+G530+B534+C534+D534+E534+F534&gt;0,ROUND((B542/30)*IF(E530+F530+G530+B534+C534+D534+E534+F534&lt;31,E530+F530+G530+B534+C534+D534+E534+F534,30),2),0)+ROUND(((B542/G526)*(B530+B537+B539+C536+D530)),2)),0),0)+IF(B526&gt;G526,IF(B542&gt;0,(B526-G526)*B544,0),0)+IF(B543&gt;0,B543*B526,0)-IF(IF(B526+B530+B537+B539+C536+D530+F527&gt;0,IF(B542&gt;0,B542-(IF(E530+F530+G530+B534+C534+D534+E534+F534&gt;0,ROUND((B542/30)*IF(E530+F530+G530+B534+C534+D534+E534+F534&lt;31,E530+F530+G530+B534+C534+D534+E534+F534,30),2),0)+ROUND(((B542/G526)*(B530+B537+B539+C536+D530)),2)),0),0)&lt;0,IF(B526+B530+B537+B539+C536+D530+F527&gt;0,IF(B542&gt;0,B542-(IF(E530+F530+G530+B534+C534+D534+E534+F534&gt;0,ROUND((B542/30)*IF(E530+F530+G530+B534+C534+D534+E534+F534&lt;31,E530+F530+G530+B534+C534+D534+E534+F534,30),2),0)+ROUND(((B542/G526)*(B530+B537+B539+C536+D530)),2)),0),0),0)</f>
        <v>0</v>
      </c>
      <c r="I527" s="151">
        <f>ROUND(D526*ROUND(B544*150%,2)+E526*ROUND(B544*200%,2),2)</f>
        <v>0</v>
      </c>
      <c r="J527" s="151">
        <f>ROUND((J525*H527),2)</f>
        <v>0</v>
      </c>
      <c r="K527" s="151"/>
      <c r="L527" s="151">
        <f>IF(C526&gt;0,C526*ROUND(B544*U$3,2),0)+IF(U$3=0,IF(C526&gt;0,C526*ROUND(20%*ROUND(E$1/G526,2),2),0))</f>
        <v>0</v>
      </c>
      <c r="M527" s="151">
        <f>IF(B530&gt;0,ROUND((B530*C539),2),0)</f>
        <v>0</v>
      </c>
      <c r="N527" s="151">
        <f>IF(B526+D526+E526+F526&gt;0,ROUND((((H527+I527+J527+L527+O527)/(B526+D526+E526+F526))*D530),2),B544*D530)</f>
        <v>0</v>
      </c>
      <c r="O527" s="151">
        <f>ROUND((F526*B544),2)</f>
        <v>0</v>
      </c>
      <c r="P527" s="151">
        <f>IF(C530&gt;0,ROUND((D539/($I$1*8*B551)),2)*C530,0)</f>
        <v>0</v>
      </c>
      <c r="Q527" s="151"/>
      <c r="R527" s="152"/>
      <c r="S527" s="153">
        <f>IF(G544&gt;500,G544-500,0)+IF(F544&gt;190,F544-190,0)</f>
        <v>0</v>
      </c>
      <c r="T527" s="593"/>
      <c r="U527" s="594"/>
      <c r="V527" s="154"/>
    </row>
    <row r="528" spans="1:21" ht="57" customHeight="1">
      <c r="A528" s="568"/>
      <c r="B528" s="554"/>
      <c r="C528" s="554"/>
      <c r="D528" s="554"/>
      <c r="E528" s="599" t="s">
        <v>112</v>
      </c>
      <c r="F528" s="599"/>
      <c r="G528" s="598"/>
      <c r="H528" s="600" t="s">
        <v>113</v>
      </c>
      <c r="I528" s="601"/>
      <c r="J528" s="601"/>
      <c r="K528" s="601"/>
      <c r="L528" s="601"/>
      <c r="M528" s="602">
        <f>H533+I533+M529</f>
        <v>0</v>
      </c>
      <c r="N528" s="603"/>
      <c r="O528" s="604" t="s">
        <v>114</v>
      </c>
      <c r="P528" s="604"/>
      <c r="Q528" s="604"/>
      <c r="R528" s="604"/>
      <c r="S528" s="156">
        <f>S529+O533</f>
        <v>0</v>
      </c>
      <c r="T528" s="605"/>
      <c r="U528" s="606"/>
    </row>
    <row r="529" spans="1:21" ht="38.25" customHeight="1">
      <c r="A529" s="568"/>
      <c r="B529" s="157"/>
      <c r="C529" s="131"/>
      <c r="D529" s="131"/>
      <c r="E529" s="158">
        <v>0.8</v>
      </c>
      <c r="F529" s="158">
        <v>1</v>
      </c>
      <c r="G529" s="159">
        <v>0.8</v>
      </c>
      <c r="H529" s="607" t="s">
        <v>115</v>
      </c>
      <c r="I529" s="608"/>
      <c r="J529" s="609" t="s">
        <v>116</v>
      </c>
      <c r="K529" s="610"/>
      <c r="L529" s="610"/>
      <c r="M529" s="611">
        <f>SUM(J533:N533)</f>
        <v>0</v>
      </c>
      <c r="N529" s="612"/>
      <c r="O529" s="160" t="s">
        <v>117</v>
      </c>
      <c r="P529" s="613" t="s">
        <v>118</v>
      </c>
      <c r="Q529" s="614"/>
      <c r="R529" s="615"/>
      <c r="S529" s="161">
        <f>SUM(P533:S533)</f>
        <v>0</v>
      </c>
      <c r="T529" s="616"/>
      <c r="U529" s="617"/>
    </row>
    <row r="530" spans="1:21" ht="40.5" customHeight="1">
      <c r="A530" s="568"/>
      <c r="B530" s="137"/>
      <c r="C530" s="137"/>
      <c r="D530" s="137"/>
      <c r="E530" s="137"/>
      <c r="F530" s="137"/>
      <c r="G530" s="139"/>
      <c r="H530" s="618" t="s">
        <v>119</v>
      </c>
      <c r="I530" s="162"/>
      <c r="J530" s="620" t="s">
        <v>120</v>
      </c>
      <c r="K530" s="595" t="s">
        <v>121</v>
      </c>
      <c r="L530" s="595" t="s">
        <v>122</v>
      </c>
      <c r="M530" s="595" t="s">
        <v>123</v>
      </c>
      <c r="N530" s="163" t="s">
        <v>124</v>
      </c>
      <c r="O530" s="622" t="s">
        <v>125</v>
      </c>
      <c r="P530" s="624" t="s">
        <v>126</v>
      </c>
      <c r="Q530" s="584" t="s">
        <v>127</v>
      </c>
      <c r="R530" s="634" t="s">
        <v>128</v>
      </c>
      <c r="S530" s="633" t="s">
        <v>129</v>
      </c>
      <c r="T530" s="164"/>
      <c r="U530" s="165"/>
    </row>
    <row r="531" spans="1:21" ht="39.75" customHeight="1">
      <c r="A531" s="568"/>
      <c r="B531" s="571" t="s">
        <v>110</v>
      </c>
      <c r="C531" s="571" t="s">
        <v>130</v>
      </c>
      <c r="D531" s="571" t="s">
        <v>131</v>
      </c>
      <c r="E531" s="571" t="s">
        <v>132</v>
      </c>
      <c r="F531" s="571" t="s">
        <v>110</v>
      </c>
      <c r="G531" s="166" t="s">
        <v>133</v>
      </c>
      <c r="H531" s="619"/>
      <c r="I531" s="167"/>
      <c r="J531" s="621"/>
      <c r="K531" s="554"/>
      <c r="L531" s="554"/>
      <c r="M531" s="554"/>
      <c r="N531" s="168" t="s">
        <v>134</v>
      </c>
      <c r="O531" s="623"/>
      <c r="P531" s="624"/>
      <c r="Q531" s="584"/>
      <c r="R531" s="634"/>
      <c r="S531" s="633"/>
      <c r="T531" s="627">
        <f>I543-S544-P543</f>
        <v>0</v>
      </c>
      <c r="U531" s="628"/>
    </row>
    <row r="532" spans="1:21" ht="35.25" customHeight="1">
      <c r="A532" s="568"/>
      <c r="B532" s="572"/>
      <c r="C532" s="572"/>
      <c r="D532" s="572"/>
      <c r="E532" s="572"/>
      <c r="F532" s="572"/>
      <c r="G532" s="139"/>
      <c r="H532" s="169">
        <f aca="true" t="shared" si="49" ref="H532:M532">IF(H533&gt;0,1,0)</f>
        <v>0</v>
      </c>
      <c r="I532" s="170">
        <f t="shared" si="49"/>
        <v>0</v>
      </c>
      <c r="J532" s="171">
        <f t="shared" si="49"/>
        <v>0</v>
      </c>
      <c r="K532" s="172">
        <f t="shared" si="49"/>
        <v>0</v>
      </c>
      <c r="L532" s="173">
        <f t="shared" si="49"/>
        <v>0</v>
      </c>
      <c r="M532" s="173">
        <f t="shared" si="49"/>
        <v>0</v>
      </c>
      <c r="N532" s="174">
        <v>0</v>
      </c>
      <c r="O532" s="175">
        <f>IF(O533&gt;0,1,0)</f>
        <v>0</v>
      </c>
      <c r="P532" s="171">
        <f>IF(P533&gt;0,1,0)</f>
        <v>0</v>
      </c>
      <c r="Q532" s="173">
        <f>IF(Q533&gt;0,1,0)</f>
        <v>0</v>
      </c>
      <c r="R532" s="173">
        <f>IF(R533&gt;0,1,0)</f>
        <v>0</v>
      </c>
      <c r="S532" s="176">
        <f>IF(S533&gt;0,1,0)</f>
        <v>0</v>
      </c>
      <c r="T532" s="627"/>
      <c r="U532" s="628"/>
    </row>
    <row r="533" spans="1:21" ht="36" customHeight="1" thickBot="1">
      <c r="A533" s="568"/>
      <c r="B533" s="177">
        <v>1</v>
      </c>
      <c r="C533" s="177">
        <v>0.8</v>
      </c>
      <c r="D533" s="572"/>
      <c r="E533" s="572"/>
      <c r="F533" s="177">
        <v>0.7</v>
      </c>
      <c r="G533" s="178">
        <v>0</v>
      </c>
      <c r="H533" s="179">
        <f>IF(E530&gt;0,ROUND((C544*E529),2)*E530,0)+IF(F530&gt;0,C544*F530,0)</f>
        <v>0</v>
      </c>
      <c r="I533" s="180"/>
      <c r="J533" s="181">
        <f>IF(G526&gt;0,IF(B526&gt;=G526,E539-((E539/22)*F539),(E539-(ROUND(((E539/22)*(((G526-B526)/8*B551)+F539)),2))))-IF(B526=0,0,0)-IF(B526&lt;=F539*8*B551,E539-ROUND(((E539/22)*(((G526-B526)/8*B551)+F539)),2),0),0)</f>
        <v>0</v>
      </c>
      <c r="K533" s="182">
        <f>G542-R533</f>
        <v>0</v>
      </c>
      <c r="L533" s="182">
        <f>IF(F544&gt;0,IF(F544&lt;190,F544,190),0)</f>
        <v>0</v>
      </c>
      <c r="M533" s="182"/>
      <c r="N533" s="183">
        <f>IF(N532&gt;0,L$3*B551*N532,0)</f>
        <v>0</v>
      </c>
      <c r="O533" s="184">
        <f>IF(C551&lt;=$P$2,IF(G544&gt;0,IF(G544&lt;500,G544,500),0),0)</f>
        <v>0</v>
      </c>
      <c r="P533" s="181">
        <f>IF(G539&gt;0,ROUND(((G539/G526)*B526),2),0)+G538</f>
        <v>0</v>
      </c>
      <c r="Q533" s="182">
        <f>IF(F537&gt;0,ROUND((F537/G526)*B526,2),0)</f>
        <v>0</v>
      </c>
      <c r="R533" s="182">
        <f>IF(G542&gt;0,IF(G542&lt;380,G542,380),0)</f>
        <v>0</v>
      </c>
      <c r="S533" s="185"/>
      <c r="T533" s="627"/>
      <c r="U533" s="628"/>
    </row>
    <row r="534" spans="1:21" ht="60" customHeight="1" thickBot="1" thickTop="1">
      <c r="A534" s="568"/>
      <c r="B534" s="137"/>
      <c r="C534" s="137"/>
      <c r="D534" s="137"/>
      <c r="E534" s="137"/>
      <c r="F534" s="137"/>
      <c r="G534" s="139">
        <f>IF(L522+L535-Q533-P533-K543-J533&gt;$F$1,IF(G533&gt;0,IF(((H543-S544-L549-L543-J533-K533-L533-O546+P551)*(100%-G533))&gt;=(($F$1*B551)-IF(ROUND(((ROUND(($F$1-C551),0.1)*E551)-D551),0.1)&gt;0,ROUND(((ROUND(($F$1-C551),0.1)*E551)-D551),0.1),0)),((H543-S544-L549-L543-J533-K533-L533-O546+P551)*G533)))+IF(G533&gt;0,IF(((H543-S544-L549-L543-J533-K533-L533-O546+P551)*(100%-G533))&lt;(($F$1*B551)-IF(ROUND(((ROUND(($F$1-C551),0.1)*E551)-D551),0.1)&gt;0,ROUND(((ROUND(($F$1-C551),0.1)*E551)-D551),0.1),0)),(H543-S544-L549-L543-J533-K533-L533-O546+P551)-(($F$1*B551)-IF(ROUND(((ROUND(($F$1-C551),0.1)*E551)-D551),0.1)&gt;0,ROUND(((ROUND(($F$1-C551),0.1)*E551)-D551),0.1),0)))),0)</f>
        <v>0</v>
      </c>
      <c r="H534" s="629" t="s">
        <v>135</v>
      </c>
      <c r="I534" s="630"/>
      <c r="J534" s="630"/>
      <c r="K534" s="575">
        <f>L535+P534</f>
        <v>0</v>
      </c>
      <c r="L534" s="576"/>
      <c r="M534" s="631" t="s">
        <v>136</v>
      </c>
      <c r="N534" s="632"/>
      <c r="O534" s="632"/>
      <c r="P534" s="575">
        <f>P535+S535</f>
        <v>0</v>
      </c>
      <c r="Q534" s="575"/>
      <c r="R534" s="186"/>
      <c r="S534" s="186"/>
      <c r="T534" s="187">
        <v>200</v>
      </c>
      <c r="U534" s="188">
        <f>ROUND(((1400/'[1]Li-pł zlec'!$V$1)*'[1]LI-PŁ-prac'!T534),2)+((H533+L535)-ROUND(((H533+L535)*$N$3),2))+O536+P536+P538+R538+S538-O543-L543-M543</f>
        <v>1750</v>
      </c>
    </row>
    <row r="535" spans="1:21" ht="119.25" customHeight="1">
      <c r="A535" s="568"/>
      <c r="B535" s="189" t="s">
        <v>137</v>
      </c>
      <c r="C535" s="190" t="s">
        <v>138</v>
      </c>
      <c r="D535" s="595" t="s">
        <v>139</v>
      </c>
      <c r="E535" s="649" t="s">
        <v>307</v>
      </c>
      <c r="F535" s="191" t="s">
        <v>140</v>
      </c>
      <c r="G535" s="192" t="s">
        <v>141</v>
      </c>
      <c r="H535" s="651" t="s">
        <v>142</v>
      </c>
      <c r="I535" s="652"/>
      <c r="J535" s="652"/>
      <c r="K535" s="652"/>
      <c r="L535" s="193">
        <f>SUM(H538:L538)</f>
        <v>0</v>
      </c>
      <c r="M535" s="625"/>
      <c r="N535" s="626"/>
      <c r="O535" s="626"/>
      <c r="P535" s="193"/>
      <c r="Q535" s="635"/>
      <c r="R535" s="636"/>
      <c r="S535" s="194"/>
      <c r="T535" s="637"/>
      <c r="U535" s="638"/>
    </row>
    <row r="536" spans="1:21" ht="141" customHeight="1" thickBot="1">
      <c r="A536" s="568"/>
      <c r="B536" s="195" t="s">
        <v>143</v>
      </c>
      <c r="C536" s="196"/>
      <c r="D536" s="554"/>
      <c r="E536" s="650"/>
      <c r="F536" s="197">
        <f>IF(F537&gt;0,1,0)</f>
        <v>0</v>
      </c>
      <c r="G536" s="155" t="s">
        <v>308</v>
      </c>
      <c r="H536" s="198" t="s">
        <v>144</v>
      </c>
      <c r="I536" s="199" t="s">
        <v>145</v>
      </c>
      <c r="J536" s="199" t="s">
        <v>146</v>
      </c>
      <c r="K536" s="199" t="s">
        <v>147</v>
      </c>
      <c r="L536" s="200" t="s">
        <v>148</v>
      </c>
      <c r="M536" s="201"/>
      <c r="N536" s="202"/>
      <c r="O536" s="203"/>
      <c r="P536" s="204"/>
      <c r="Q536" s="205"/>
      <c r="R536" s="206"/>
      <c r="S536" s="207"/>
      <c r="T536" s="637"/>
      <c r="U536" s="638"/>
    </row>
    <row r="537" spans="1:21" ht="51.75" customHeight="1">
      <c r="A537" s="568"/>
      <c r="B537" s="208"/>
      <c r="C537" s="595" t="s">
        <v>149</v>
      </c>
      <c r="D537" s="554"/>
      <c r="E537" s="209"/>
      <c r="F537" s="210">
        <f>IF(T523&gt;0,$H$3,0)</f>
        <v>0</v>
      </c>
      <c r="G537" s="211">
        <f>IF(G538+G539&gt;0,1,0)</f>
        <v>0</v>
      </c>
      <c r="H537" s="212">
        <f>IF(H538&gt;0,1,0)</f>
        <v>0</v>
      </c>
      <c r="I537" s="213">
        <f>IF(I538&gt;0,1,0)</f>
        <v>0</v>
      </c>
      <c r="J537" s="213">
        <f>IF(J538&gt;0,1,0)</f>
        <v>0</v>
      </c>
      <c r="K537" s="213">
        <f>IF(K538&gt;0,1,0)</f>
        <v>0</v>
      </c>
      <c r="L537" s="214">
        <f>IF(L538&gt;0,1,0)</f>
        <v>0</v>
      </c>
      <c r="M537" s="639" t="s">
        <v>150</v>
      </c>
      <c r="N537" s="640"/>
      <c r="O537" s="641"/>
      <c r="P537" s="642"/>
      <c r="Q537" s="215"/>
      <c r="R537" s="216"/>
      <c r="S537" s="217"/>
      <c r="T537" s="643"/>
      <c r="U537" s="644"/>
    </row>
    <row r="538" spans="1:21" ht="60.75" customHeight="1" thickBot="1">
      <c r="A538" s="568"/>
      <c r="B538" s="218" t="s">
        <v>151</v>
      </c>
      <c r="C538" s="554"/>
      <c r="D538" s="131"/>
      <c r="E538" s="219">
        <f>IF(E537&gt;0,C$3,0)</f>
        <v>0</v>
      </c>
      <c r="F538" s="220" t="s">
        <v>152</v>
      </c>
      <c r="G538" s="221"/>
      <c r="H538" s="179">
        <f>IF(G530&gt;0,(ROUND((C544*G529),2)*G530),0)+IF(B534&gt;0,(ROUND((C544*B533),2)*B534),0)+IF(F534&gt;0,(ROUND((C544*F533),2)*F534),0)</f>
        <v>0</v>
      </c>
      <c r="I538" s="182">
        <f>IF(E534&gt;0,(ROUND(((D544*D543)/30),2)*E534),0)</f>
        <v>0</v>
      </c>
      <c r="J538" s="182">
        <f>IF(C534&gt;0,(ROUND(C544*C533,2)*C534),0)</f>
        <v>0</v>
      </c>
      <c r="K538" s="182">
        <f>IF(D534&gt;0,(ROUND(C544,2)*D534),0)</f>
        <v>0</v>
      </c>
      <c r="L538" s="222">
        <f>E544</f>
        <v>0</v>
      </c>
      <c r="M538" s="645">
        <f>Q523+M528+L535</f>
        <v>0</v>
      </c>
      <c r="N538" s="646"/>
      <c r="O538" s="202"/>
      <c r="P538" s="223"/>
      <c r="Q538" s="224"/>
      <c r="R538" s="182"/>
      <c r="S538" s="185"/>
      <c r="T538" s="695" t="s">
        <v>153</v>
      </c>
      <c r="U538" s="696"/>
    </row>
    <row r="539" spans="1:21" ht="41.25" customHeight="1" thickTop="1">
      <c r="A539" s="568"/>
      <c r="B539" s="208"/>
      <c r="C539" s="208"/>
      <c r="D539" s="208"/>
      <c r="E539" s="203">
        <f>ROUND((E537*E538),2)</f>
        <v>0</v>
      </c>
      <c r="F539" s="225"/>
      <c r="G539" s="226"/>
      <c r="H539" s="653" t="s">
        <v>309</v>
      </c>
      <c r="I539" s="655" t="s">
        <v>154</v>
      </c>
      <c r="J539" s="657" t="s">
        <v>155</v>
      </c>
      <c r="K539" s="660" t="s">
        <v>156</v>
      </c>
      <c r="L539" s="661" t="s">
        <v>157</v>
      </c>
      <c r="M539" s="661"/>
      <c r="N539" s="661"/>
      <c r="O539" s="662"/>
      <c r="P539" s="663" t="s">
        <v>158</v>
      </c>
      <c r="Q539" s="227" t="s">
        <v>159</v>
      </c>
      <c r="R539" s="228" t="s">
        <v>160</v>
      </c>
      <c r="S539" s="229" t="s">
        <v>161</v>
      </c>
      <c r="T539" s="695" t="s">
        <v>162</v>
      </c>
      <c r="U539" s="696"/>
    </row>
    <row r="540" spans="1:21" ht="92.25" customHeight="1">
      <c r="A540" s="568"/>
      <c r="B540" s="664" t="s">
        <v>163</v>
      </c>
      <c r="C540" s="117" t="s">
        <v>164</v>
      </c>
      <c r="D540" s="337" t="s">
        <v>165</v>
      </c>
      <c r="E540" s="146" t="s">
        <v>166</v>
      </c>
      <c r="F540" s="697" t="s">
        <v>167</v>
      </c>
      <c r="G540" s="191" t="s">
        <v>168</v>
      </c>
      <c r="H540" s="654"/>
      <c r="I540" s="656"/>
      <c r="J540" s="658"/>
      <c r="K540" s="584"/>
      <c r="L540" s="232" t="s">
        <v>169</v>
      </c>
      <c r="M540" s="123" t="s">
        <v>170</v>
      </c>
      <c r="N540" s="136" t="s">
        <v>171</v>
      </c>
      <c r="O540" s="136" t="s">
        <v>172</v>
      </c>
      <c r="P540" s="556"/>
      <c r="Q540" s="233">
        <f>ROUND(IF(S545&gt;$N$4,IF(S545&lt;=$O$4,7866.25+((S545-$N$4)*$O$3)),0)+IF(S545&gt;$O$4,20177.65+((S545-$O$4)*$P$3),0)+IF(S545&lt;=$N$4,IF(S545*E551&gt;0,S545*E551),0),0.1)</f>
        <v>0</v>
      </c>
      <c r="R540" s="234">
        <f>IF(L535&gt;0,ROUND((ROUND((L535),0.1)*E551),0.1),0)</f>
        <v>0</v>
      </c>
      <c r="S540" s="235">
        <f>IF(Q540+R540-D551&gt;=0,Q540+R540-D551,0)+IF(D551-Q540+R540&gt;0&lt;D551+0.001,Q540+R540-D551,0)</f>
        <v>0</v>
      </c>
      <c r="T540" s="695" t="s">
        <v>173</v>
      </c>
      <c r="U540" s="696"/>
    </row>
    <row r="541" spans="1:21" ht="36.75" customHeight="1">
      <c r="A541" s="568"/>
      <c r="B541" s="665"/>
      <c r="C541" s="230"/>
      <c r="D541" s="236"/>
      <c r="E541" s="237"/>
      <c r="F541" s="698"/>
      <c r="G541" s="239" t="s">
        <v>310</v>
      </c>
      <c r="H541" s="654"/>
      <c r="I541" s="656"/>
      <c r="J541" s="658"/>
      <c r="K541" s="584"/>
      <c r="L541" s="123"/>
      <c r="M541" s="240"/>
      <c r="N541" s="241"/>
      <c r="O541" s="136"/>
      <c r="P541" s="556"/>
      <c r="Q541" s="668" t="s">
        <v>174</v>
      </c>
      <c r="R541" s="669"/>
      <c r="S541" s="235">
        <f>ROUND(IF(S540&gt;=L551,S540-L551,0),0.1)</f>
        <v>0</v>
      </c>
      <c r="T541" s="338" t="str">
        <f>L$8</f>
        <v>styczeń</v>
      </c>
      <c r="U541" s="339" t="str">
        <f>N$8</f>
        <v>2011 r.</v>
      </c>
    </row>
    <row r="542" spans="1:21" ht="48" customHeight="1">
      <c r="A542" s="568"/>
      <c r="B542" s="244">
        <f>IF(B543=0,IF(T523&gt;0,IF(T528&gt;0,IF(T528="I kl",O$1)+IF(T528="II kl",P$1)+IF(T528="III kl",Q$1),ROUND((E$1*B551),2)),0),0)</f>
        <v>0</v>
      </c>
      <c r="C542" s="118" t="s">
        <v>175</v>
      </c>
      <c r="D542" s="123" t="s">
        <v>176</v>
      </c>
      <c r="E542" s="245"/>
      <c r="F542" s="698"/>
      <c r="G542" s="139"/>
      <c r="H542" s="246">
        <f>IF(H543&gt;0,1,0)</f>
        <v>0</v>
      </c>
      <c r="I542" s="247">
        <f>IF(I543&gt;0,1,0)</f>
        <v>0</v>
      </c>
      <c r="J542" s="658"/>
      <c r="K542" s="248">
        <f aca="true" t="shared" si="50" ref="K542:P542">IF(K543&gt;0,1,0)</f>
        <v>0</v>
      </c>
      <c r="L542" s="249">
        <f t="shared" si="50"/>
        <v>0</v>
      </c>
      <c r="M542" s="250">
        <f t="shared" si="50"/>
        <v>0</v>
      </c>
      <c r="N542" s="249">
        <f t="shared" si="50"/>
        <v>0</v>
      </c>
      <c r="O542" s="251">
        <f t="shared" si="50"/>
        <v>0</v>
      </c>
      <c r="P542" s="252">
        <f t="shared" si="50"/>
        <v>0</v>
      </c>
      <c r="Q542" s="670" t="s">
        <v>177</v>
      </c>
      <c r="R542" s="253" t="s">
        <v>178</v>
      </c>
      <c r="S542" s="235">
        <v>0</v>
      </c>
      <c r="T542" s="647" t="s">
        <v>179</v>
      </c>
      <c r="U542" s="648"/>
    </row>
    <row r="543" spans="1:21" ht="57.75" customHeight="1" thickBot="1">
      <c r="A543" s="568"/>
      <c r="B543" s="254"/>
      <c r="C543" s="230"/>
      <c r="D543" s="177">
        <v>0.9</v>
      </c>
      <c r="E543" s="255">
        <f>IF(E541&gt;0,$U$1-E542,0)</f>
        <v>0</v>
      </c>
      <c r="F543" s="238">
        <f>IF(F544&gt;0,1,0)</f>
        <v>0</v>
      </c>
      <c r="G543" s="256" t="s">
        <v>180</v>
      </c>
      <c r="H543" s="257">
        <f>P522+L535-P551</f>
        <v>0</v>
      </c>
      <c r="I543" s="233">
        <f>L522+K534</f>
        <v>0</v>
      </c>
      <c r="J543" s="659"/>
      <c r="K543" s="244">
        <f>S527+K533+L533+O533+R533+O546+L549-N543</f>
        <v>0</v>
      </c>
      <c r="L543" s="244"/>
      <c r="M543" s="244">
        <f>G532+IF(G534&gt;0,G534,0)</f>
        <v>0</v>
      </c>
      <c r="N543" s="244">
        <f>L549-L551</f>
        <v>0</v>
      </c>
      <c r="O543" s="244"/>
      <c r="P543" s="258">
        <f>SUM(K543:O543)</f>
        <v>0</v>
      </c>
      <c r="Q543" s="671"/>
      <c r="R543" s="259" t="s">
        <v>181</v>
      </c>
      <c r="S543" s="235">
        <v>0</v>
      </c>
      <c r="T543" s="647" t="s">
        <v>182</v>
      </c>
      <c r="U543" s="648"/>
    </row>
    <row r="544" spans="1:21" ht="45.75" customHeight="1" thickBot="1" thickTop="1">
      <c r="A544" s="569"/>
      <c r="B544" s="244">
        <f>IF(B543=0,ROUND(IF(B542&gt;0,CEILING((B542/G526),0.01),B543),2),B543)</f>
        <v>0</v>
      </c>
      <c r="C544" s="244">
        <f>IF(T523&gt;0,(IF(C541&gt;0,ROUND(((C541-(C541*(B547+C547+D547)))/30),2),0)+IF(C543&gt;0,ROUND((C543/30),2),0))+(IF(IF(C541&gt;0,ROUND(((C541-(C541*(B547+C547+D547)))/30),2),0)+IF(C543&gt;0,ROUND((C543/30),2),0)&lt;ROUND((($F$1*B551)/30),2),(IF(C541+C543&gt;0,ROUND((($F$1*B551)/30),2)-(IF(C541&gt;0,ROUND(((C541-(C541*(B547+C547+D547)))/30),2),0)+IF(C543&gt;0,ROUND((C543/30),2),0)))),0)),0)</f>
        <v>0</v>
      </c>
      <c r="D544" s="244"/>
      <c r="E544" s="244">
        <f>IF(E543&gt;0,IF(ROUND(E541-((E541/30)*E542),2)-H546+O546&gt;0,ROUND(E541-((E541/30)*E542),2)-H546+O546,0),0)</f>
        <v>0</v>
      </c>
      <c r="F544" s="137"/>
      <c r="G544" s="139"/>
      <c r="H544" s="672" t="s">
        <v>183</v>
      </c>
      <c r="I544" s="673"/>
      <c r="J544" s="673"/>
      <c r="K544" s="673"/>
      <c r="L544" s="673"/>
      <c r="M544" s="674" t="s">
        <v>184</v>
      </c>
      <c r="N544" s="675"/>
      <c r="O544" s="260" t="s">
        <v>185</v>
      </c>
      <c r="P544" s="261" t="s">
        <v>186</v>
      </c>
      <c r="Q544" s="676" t="s">
        <v>187</v>
      </c>
      <c r="R544" s="677"/>
      <c r="S544" s="262">
        <f>ROUND((IF(S541-S542&gt;=0,S541-S542,0)+S543),0.1)</f>
        <v>0</v>
      </c>
      <c r="T544" s="263" t="str">
        <f>L$8</f>
        <v>styczeń</v>
      </c>
      <c r="U544" s="264" t="str">
        <f>N$8</f>
        <v>2011 r.</v>
      </c>
    </row>
    <row r="545" spans="1:21" ht="69.75" customHeight="1" thickBot="1" thickTop="1">
      <c r="A545" s="568"/>
      <c r="B545" s="699" t="s">
        <v>188</v>
      </c>
      <c r="C545" s="700"/>
      <c r="D545" s="700"/>
      <c r="E545" s="701"/>
      <c r="F545" s="265" t="s">
        <v>189</v>
      </c>
      <c r="G545" s="266" t="s">
        <v>190</v>
      </c>
      <c r="H545" s="267" t="s">
        <v>191</v>
      </c>
      <c r="I545" s="268" t="s">
        <v>192</v>
      </c>
      <c r="J545" s="269" t="s">
        <v>193</v>
      </c>
      <c r="K545" s="238" t="s">
        <v>194</v>
      </c>
      <c r="L545" s="270" t="s">
        <v>195</v>
      </c>
      <c r="M545" s="198" t="s">
        <v>196</v>
      </c>
      <c r="N545" s="271" t="s">
        <v>197</v>
      </c>
      <c r="O545" s="294" t="s">
        <v>198</v>
      </c>
      <c r="P545" s="273" t="s">
        <v>199</v>
      </c>
      <c r="Q545" s="340" t="s">
        <v>200</v>
      </c>
      <c r="R545" s="275" t="s">
        <v>201</v>
      </c>
      <c r="S545" s="276">
        <f>IF(ROUND((P522-P551-C551),0.1)&gt;0,ROUND((P522-P551-C551),0.1),0)</f>
        <v>0</v>
      </c>
      <c r="T545" s="277"/>
      <c r="U545" s="278"/>
    </row>
    <row r="546" spans="1:21" ht="81" customHeight="1" thickTop="1">
      <c r="A546" s="568"/>
      <c r="B546" s="279" t="s">
        <v>202</v>
      </c>
      <c r="C546" s="279" t="s">
        <v>203</v>
      </c>
      <c r="D546" s="279" t="s">
        <v>204</v>
      </c>
      <c r="E546" s="279" t="s">
        <v>205</v>
      </c>
      <c r="F546" s="279" t="s">
        <v>206</v>
      </c>
      <c r="G546" s="280">
        <f>ROUND((H546*G548),2)</f>
        <v>0</v>
      </c>
      <c r="H546" s="281">
        <f>Q523+O533</f>
        <v>0</v>
      </c>
      <c r="I546" s="282">
        <f>Q523+O533</f>
        <v>0</v>
      </c>
      <c r="J546" s="282">
        <f>Q523+O533</f>
        <v>0</v>
      </c>
      <c r="K546" s="282">
        <f>Q523+O533</f>
        <v>0</v>
      </c>
      <c r="L546" s="283">
        <f>Q523+H533+I533-O546+O533</f>
        <v>0</v>
      </c>
      <c r="M546" s="284">
        <f>IF(D541&gt;0,IF(D541&lt;$U$1,ROUND((($E$1/$U$1)*D541),2),$E$1))+IF(K538&gt;0,K538,0)</f>
        <v>0</v>
      </c>
      <c r="N546" s="285">
        <f>M546</f>
        <v>0</v>
      </c>
      <c r="O546" s="286">
        <f>SUM(H549:J549)</f>
        <v>0</v>
      </c>
      <c r="P546" s="287">
        <f>IF(P547&gt;0,1,0)</f>
        <v>0</v>
      </c>
      <c r="Q546" s="288">
        <f>ROUND((H546-O533-P551+H533+I533)*$R$3,2)</f>
        <v>0</v>
      </c>
      <c r="R546" s="681" t="s">
        <v>207</v>
      </c>
      <c r="S546" s="683" t="s">
        <v>311</v>
      </c>
      <c r="T546" s="289"/>
      <c r="U546" s="278"/>
    </row>
    <row r="547" spans="1:21" ht="38.25" customHeight="1">
      <c r="A547" s="568"/>
      <c r="B547" s="158">
        <f>IF(H546&gt;0,B$2,0)</f>
        <v>0</v>
      </c>
      <c r="C547" s="158">
        <f>IF(I546&gt;0,H$4,0)</f>
        <v>0</v>
      </c>
      <c r="D547" s="158">
        <f>IF(J546&gt;0,F$2,0)</f>
        <v>0</v>
      </c>
      <c r="E547" s="158" t="s">
        <v>208</v>
      </c>
      <c r="F547" s="290" t="s">
        <v>209</v>
      </c>
      <c r="G547" s="291">
        <v>0</v>
      </c>
      <c r="H547" s="685" t="s">
        <v>210</v>
      </c>
      <c r="I547" s="686"/>
      <c r="J547" s="686"/>
      <c r="K547" s="686"/>
      <c r="L547" s="686"/>
      <c r="M547" s="292" t="s">
        <v>211</v>
      </c>
      <c r="N547" s="293" t="s">
        <v>212</v>
      </c>
      <c r="O547" s="294" t="s">
        <v>213</v>
      </c>
      <c r="P547" s="52">
        <f>IF(I546&lt;$E$1,IF(B551=1,IF(T528=0,ROUND((I546*$L$2),2),0),0),ROUND((I546*$L$2),2))</f>
        <v>0</v>
      </c>
      <c r="Q547" s="295" t="s">
        <v>214</v>
      </c>
      <c r="R547" s="682"/>
      <c r="S547" s="684"/>
      <c r="T547" s="289"/>
      <c r="U547" s="278"/>
    </row>
    <row r="548" spans="1:21" ht="42.75" customHeight="1" thickBot="1">
      <c r="A548" s="568"/>
      <c r="B548" s="158">
        <f>IF(H546&gt;0,B$2,0)</f>
        <v>0</v>
      </c>
      <c r="C548" s="158">
        <f>IF(I546&gt;0,D$2,0)</f>
        <v>0</v>
      </c>
      <c r="D548" s="158" t="s">
        <v>208</v>
      </c>
      <c r="E548" s="158">
        <f>IF(K546&gt;0,H$2,0)</f>
        <v>0</v>
      </c>
      <c r="F548" s="158">
        <f>IF(L546&gt;0,J$2,0)</f>
        <v>0</v>
      </c>
      <c r="G548" s="158">
        <f>IF(G547&gt;0,L$1,0)</f>
        <v>0</v>
      </c>
      <c r="H548" s="296" t="s">
        <v>215</v>
      </c>
      <c r="I548" s="297" t="s">
        <v>215</v>
      </c>
      <c r="J548" s="297" t="s">
        <v>215</v>
      </c>
      <c r="K548" s="298" t="s">
        <v>209</v>
      </c>
      <c r="L548" s="299" t="s">
        <v>215</v>
      </c>
      <c r="M548" s="300">
        <f>ROUND(M546*(B$2+B$2),2)</f>
        <v>0</v>
      </c>
      <c r="N548" s="301">
        <f>ROUND(N546*(D$2+H$4),2)</f>
        <v>0</v>
      </c>
      <c r="O548" s="302">
        <f>H551+I551+K551+G546</f>
        <v>0</v>
      </c>
      <c r="P548" s="303" t="s">
        <v>216</v>
      </c>
      <c r="Q548" s="304">
        <f>ROUND((L546*J$2),2)</f>
        <v>0</v>
      </c>
      <c r="R548" s="305" t="s">
        <v>217</v>
      </c>
      <c r="S548" s="684"/>
      <c r="T548" s="289"/>
      <c r="U548" s="278"/>
    </row>
    <row r="549" spans="1:21" ht="53.25" customHeight="1" thickBot="1" thickTop="1">
      <c r="A549" s="568"/>
      <c r="B549" s="141">
        <f>IF(B547+B548&gt;0,1,0)</f>
        <v>0</v>
      </c>
      <c r="C549" s="141">
        <f>IF(C547+C548&gt;0,1,0)</f>
        <v>0</v>
      </c>
      <c r="D549" s="141">
        <f>IF(D547&gt;0,1,0)</f>
        <v>0</v>
      </c>
      <c r="E549" s="141">
        <f>IF(E548&gt;0,1,0)</f>
        <v>0</v>
      </c>
      <c r="F549" s="141">
        <f>IF(F548&gt;0,1,0)</f>
        <v>0</v>
      </c>
      <c r="G549" s="141">
        <f>IF(G548&gt;0,1,0)</f>
        <v>0</v>
      </c>
      <c r="H549" s="306">
        <f>ROUND(H546*B547,2)</f>
        <v>0</v>
      </c>
      <c r="I549" s="307">
        <f>ROUND(I546*C547,2)</f>
        <v>0</v>
      </c>
      <c r="J549" s="307">
        <f>ROUND(J546*D547,2)</f>
        <v>0</v>
      </c>
      <c r="K549" s="244" t="s">
        <v>209</v>
      </c>
      <c r="L549" s="307">
        <f>IF(S540&gt;=ROUND(L546*F548,2),ROUND(L546*F548,2),S540)</f>
        <v>0</v>
      </c>
      <c r="M549" s="687" t="s">
        <v>218</v>
      </c>
      <c r="N549" s="688"/>
      <c r="O549" s="689" t="s">
        <v>219</v>
      </c>
      <c r="P549" s="308">
        <f>IF(P550&gt;0,1,0)</f>
        <v>0</v>
      </c>
      <c r="Q549" s="309" t="s">
        <v>220</v>
      </c>
      <c r="R549" s="310">
        <f>IF(B526=G526,H527+I527+J527+L527+O527+R527+IF(K527&gt;0,ROUND((K527/K525),2),0),0)+IF(B526&lt;G526,IF(B526&gt;0,ROUND((((H527+J527)/B526)*(G526-B539)),2)+IF(K527&gt;0,ROUND((K527/K525),2),0)+I527+L527+O527+R527,0),0)</f>
        <v>0</v>
      </c>
      <c r="S549" s="235">
        <f>IF(S541-S542&lt;0,S542-S541,0)</f>
        <v>0</v>
      </c>
      <c r="T549" s="289"/>
      <c r="U549" s="278"/>
    </row>
    <row r="550" spans="1:22" ht="63" customHeight="1" thickBot="1" thickTop="1">
      <c r="A550" s="568"/>
      <c r="B550" s="311" t="s">
        <v>221</v>
      </c>
      <c r="C550" s="311" t="s">
        <v>222</v>
      </c>
      <c r="D550" s="311" t="s">
        <v>34</v>
      </c>
      <c r="E550" s="146" t="s">
        <v>223</v>
      </c>
      <c r="F550" s="312" t="s">
        <v>224</v>
      </c>
      <c r="G550" s="139">
        <f>IF(Q546&gt;Q540,Q546-Q540,0)</f>
        <v>0</v>
      </c>
      <c r="H550" s="313" t="s">
        <v>225</v>
      </c>
      <c r="I550" s="314" t="s">
        <v>225</v>
      </c>
      <c r="J550" s="298" t="s">
        <v>209</v>
      </c>
      <c r="K550" s="315" t="s">
        <v>225</v>
      </c>
      <c r="L550" s="316" t="s">
        <v>226</v>
      </c>
      <c r="M550" s="317" t="s">
        <v>227</v>
      </c>
      <c r="N550" s="318" t="s">
        <v>228</v>
      </c>
      <c r="O550" s="690"/>
      <c r="P550" s="319">
        <f>ROUND(N$2*H546,2)</f>
        <v>0</v>
      </c>
      <c r="Q550" s="320">
        <f>IF(D541&gt;0,$U$2,0)</f>
        <v>0</v>
      </c>
      <c r="R550" s="321" t="s">
        <v>229</v>
      </c>
      <c r="S550" s="322" t="s">
        <v>230</v>
      </c>
      <c r="T550" s="691" t="s">
        <v>231</v>
      </c>
      <c r="U550" s="702"/>
      <c r="V550" s="323">
        <f>IF(ISBLANK(AM522),0,IF(IF(AF537&gt;=AI$2,AI$2,AF537)&gt;0,IF(AF537&gt;=AI$2,AI$2,AF537),0))</f>
        <v>0</v>
      </c>
    </row>
    <row r="551" spans="1:22" ht="42" customHeight="1" thickBot="1" thickTop="1">
      <c r="A551" s="570"/>
      <c r="B551" s="324">
        <f>IF(ISBLANK(T523),0,1)</f>
        <v>0</v>
      </c>
      <c r="C551" s="324">
        <f>IF(ISBLANK(T523),0,IF(IF(M538&gt;=P$2,P$2,M538)&gt;0,IF(M538&gt;=P$2,P$2,M538),0))</f>
        <v>0</v>
      </c>
      <c r="D551" s="324">
        <f>IF(ISBLANK(T523),0,S$1)</f>
        <v>0</v>
      </c>
      <c r="E551" s="325">
        <f>IF(G526&gt;0,$N$3,0)</f>
        <v>0</v>
      </c>
      <c r="F551" s="326">
        <f>O546+O548+P547+P550+L549+S544</f>
        <v>0</v>
      </c>
      <c r="G551" s="327">
        <f>IF(G550&gt;0,1,0)</f>
        <v>0</v>
      </c>
      <c r="H551" s="328">
        <f>ROUND(H546*B547,2)</f>
        <v>0</v>
      </c>
      <c r="I551" s="329">
        <f>ROUND(I546*C548,2)</f>
        <v>0</v>
      </c>
      <c r="J551" s="182" t="s">
        <v>209</v>
      </c>
      <c r="K551" s="330">
        <f>ROUND(K546*E548,2)</f>
        <v>0</v>
      </c>
      <c r="L551" s="185">
        <f>IF(S540&gt;=ROUND((H546-O533-P551+H533+I533)*$R$3,2),ROUND((H546-O533-P551+H533+I533)*$R$3,2),S540)</f>
        <v>0</v>
      </c>
      <c r="M551" s="179">
        <f>O546+O548</f>
        <v>0</v>
      </c>
      <c r="N551" s="331">
        <f>M551+L549</f>
        <v>0</v>
      </c>
      <c r="O551" s="332">
        <f>SUM(M548:N548)</f>
        <v>0</v>
      </c>
      <c r="P551" s="333">
        <f>ROUND(Q523*B547,2)+ROUND(Q523*C547,2)+ROUND(Q523*D547,2)</f>
        <v>0</v>
      </c>
      <c r="Q551" s="334">
        <f>IF(D541&gt;0,ROUND(($U$2*J$2),2),0)</f>
        <v>0</v>
      </c>
      <c r="R551" s="335">
        <f>IF(B526&gt;=G526/2,IF(B526=G526,H527+I527+J527+L527+O527+P527+R527+IF(K527&gt;0,ROUND((K527/K525),2),0),ROUND((((H527+J527+L527)/B526)*(G526-B539)),2)+IF(K527&gt;0,ROUND((K527/K525),2),0)+I527+O527+P527+R527),0)</f>
        <v>0</v>
      </c>
      <c r="S551" s="336">
        <f>IF(P522-O546-S544-L549&gt;0,P522-O546-S544-L549,0)</f>
        <v>0</v>
      </c>
      <c r="T551" s="693" t="s">
        <v>232</v>
      </c>
      <c r="U551" s="703"/>
      <c r="V551" s="323">
        <f>IF(ISBLANK(AM523),0,IF(IF(AF538&gt;=AJ$2,AJ$2,AF538)&gt;0,IF(AF538&gt;=AJ$2,AJ$2,AF538),0))</f>
        <v>0</v>
      </c>
    </row>
    <row r="552" ht="24" customHeight="1" thickTop="1"/>
    <row r="553" spans="1:23" ht="33" customHeight="1" thickBot="1">
      <c r="A553" s="111" t="s">
        <v>72</v>
      </c>
      <c r="B553" s="112" t="s">
        <v>73</v>
      </c>
      <c r="C553" s="113"/>
      <c r="D553" s="113"/>
      <c r="E553" s="114"/>
      <c r="F553" s="553" t="s">
        <v>74</v>
      </c>
      <c r="G553" s="555" t="s">
        <v>75</v>
      </c>
      <c r="H553" s="557" t="s">
        <v>76</v>
      </c>
      <c r="I553" s="557"/>
      <c r="J553" s="558"/>
      <c r="K553" s="559"/>
      <c r="L553" s="560"/>
      <c r="M553" s="560"/>
      <c r="N553" s="560"/>
      <c r="O553" s="561"/>
      <c r="P553" s="559"/>
      <c r="Q553" s="560"/>
      <c r="R553" s="560"/>
      <c r="S553" s="560"/>
      <c r="T553" s="565" t="s">
        <v>77</v>
      </c>
      <c r="U553" s="566"/>
      <c r="V553" s="102"/>
      <c r="W553" s="115"/>
    </row>
    <row r="554" spans="1:23" ht="44.25" customHeight="1" thickBot="1" thickTop="1">
      <c r="A554" s="567">
        <f>A522+1</f>
        <v>18</v>
      </c>
      <c r="B554" s="571" t="s">
        <v>79</v>
      </c>
      <c r="C554" s="571" t="s">
        <v>80</v>
      </c>
      <c r="D554" s="573" t="s">
        <v>81</v>
      </c>
      <c r="E554" s="573"/>
      <c r="F554" s="554"/>
      <c r="G554" s="556"/>
      <c r="H554" s="574" t="s">
        <v>82</v>
      </c>
      <c r="I554" s="574"/>
      <c r="J554" s="574"/>
      <c r="K554" s="574"/>
      <c r="L554" s="575">
        <f>P554+S560</f>
        <v>0</v>
      </c>
      <c r="M554" s="576"/>
      <c r="N554" s="577" t="s">
        <v>83</v>
      </c>
      <c r="O554" s="578"/>
      <c r="P554" s="575">
        <f>Q555+M560</f>
        <v>0</v>
      </c>
      <c r="Q554" s="576"/>
      <c r="R554" s="119"/>
      <c r="S554" s="120"/>
      <c r="T554" s="121"/>
      <c r="U554" s="122"/>
      <c r="V554" s="102"/>
      <c r="W554" s="115"/>
    </row>
    <row r="555" spans="1:23" ht="36.75" customHeight="1">
      <c r="A555" s="568"/>
      <c r="B555" s="572"/>
      <c r="C555" s="572"/>
      <c r="D555" s="124" t="s">
        <v>85</v>
      </c>
      <c r="E555" s="124" t="s">
        <v>86</v>
      </c>
      <c r="F555" s="554"/>
      <c r="G555" s="556"/>
      <c r="H555" s="562" t="s">
        <v>87</v>
      </c>
      <c r="I555" s="563"/>
      <c r="J555" s="563"/>
      <c r="K555" s="563"/>
      <c r="L555" s="563"/>
      <c r="M555" s="563"/>
      <c r="N555" s="563"/>
      <c r="O555" s="563"/>
      <c r="P555" s="564"/>
      <c r="Q555" s="579">
        <f>SUM(H559:S559)</f>
        <v>0</v>
      </c>
      <c r="R555" s="580"/>
      <c r="S555" s="125"/>
      <c r="T555" s="581"/>
      <c r="U555" s="582"/>
      <c r="V555" s="102"/>
      <c r="W555" s="115"/>
    </row>
    <row r="556" spans="1:23" ht="38.25" customHeight="1">
      <c r="A556" s="568"/>
      <c r="B556" s="572"/>
      <c r="C556" s="126"/>
      <c r="D556" s="124" t="s">
        <v>89</v>
      </c>
      <c r="E556" s="124" t="s">
        <v>89</v>
      </c>
      <c r="F556" s="554"/>
      <c r="G556" s="127"/>
      <c r="H556" s="128" t="s">
        <v>90</v>
      </c>
      <c r="I556" s="129" t="s">
        <v>91</v>
      </c>
      <c r="J556" s="129" t="s">
        <v>92</v>
      </c>
      <c r="K556" s="130" t="s">
        <v>93</v>
      </c>
      <c r="L556" s="583" t="s">
        <v>94</v>
      </c>
      <c r="M556" s="583" t="s">
        <v>95</v>
      </c>
      <c r="N556" s="583" t="s">
        <v>96</v>
      </c>
      <c r="O556" s="585" t="s">
        <v>97</v>
      </c>
      <c r="P556" s="583" t="s">
        <v>98</v>
      </c>
      <c r="Q556" s="587" t="s">
        <v>99</v>
      </c>
      <c r="R556" s="589" t="s">
        <v>100</v>
      </c>
      <c r="S556" s="591" t="s">
        <v>101</v>
      </c>
      <c r="T556" s="581"/>
      <c r="U556" s="582"/>
      <c r="V556" s="102"/>
      <c r="W556" s="115"/>
    </row>
    <row r="557" spans="1:23" ht="30" customHeight="1">
      <c r="A557" s="568"/>
      <c r="B557" s="572"/>
      <c r="C557" s="131"/>
      <c r="D557" s="131"/>
      <c r="E557" s="131"/>
      <c r="F557" s="554"/>
      <c r="G557" s="127"/>
      <c r="H557" s="132" t="s">
        <v>103</v>
      </c>
      <c r="I557" s="133" t="s">
        <v>104</v>
      </c>
      <c r="J557" s="134">
        <v>0</v>
      </c>
      <c r="K557" s="135">
        <v>1</v>
      </c>
      <c r="L557" s="584"/>
      <c r="M557" s="584"/>
      <c r="N557" s="584"/>
      <c r="O557" s="586"/>
      <c r="P557" s="584"/>
      <c r="Q557" s="588"/>
      <c r="R557" s="590"/>
      <c r="S557" s="592"/>
      <c r="T557" s="581"/>
      <c r="U557" s="582"/>
      <c r="V557" s="102"/>
      <c r="W557" s="115"/>
    </row>
    <row r="558" spans="1:21" ht="51" customHeight="1">
      <c r="A558" s="568"/>
      <c r="B558" s="137">
        <f>G558</f>
        <v>0</v>
      </c>
      <c r="C558" s="137"/>
      <c r="D558" s="137"/>
      <c r="E558" s="138"/>
      <c r="F558" s="138"/>
      <c r="G558" s="139">
        <f>B$1*B583</f>
        <v>0</v>
      </c>
      <c r="H558" s="140">
        <f aca="true" t="shared" si="51" ref="H558:S558">IF(H559&gt;0,1,0)</f>
        <v>0</v>
      </c>
      <c r="I558" s="141">
        <f t="shared" si="51"/>
        <v>0</v>
      </c>
      <c r="J558" s="141">
        <f t="shared" si="51"/>
        <v>0</v>
      </c>
      <c r="K558" s="142">
        <f t="shared" si="51"/>
        <v>0</v>
      </c>
      <c r="L558" s="142">
        <f t="shared" si="51"/>
        <v>0</v>
      </c>
      <c r="M558" s="142">
        <f t="shared" si="51"/>
        <v>0</v>
      </c>
      <c r="N558" s="142">
        <f t="shared" si="51"/>
        <v>0</v>
      </c>
      <c r="O558" s="141">
        <f t="shared" si="51"/>
        <v>0</v>
      </c>
      <c r="P558" s="142">
        <f t="shared" si="51"/>
        <v>0</v>
      </c>
      <c r="Q558" s="142">
        <f t="shared" si="51"/>
        <v>0</v>
      </c>
      <c r="R558" s="143">
        <f t="shared" si="51"/>
        <v>0</v>
      </c>
      <c r="S558" s="144">
        <f t="shared" si="51"/>
        <v>0</v>
      </c>
      <c r="T558" s="593"/>
      <c r="U558" s="594"/>
    </row>
    <row r="559" spans="1:22" ht="49.5" customHeight="1" thickBot="1">
      <c r="A559" s="568"/>
      <c r="B559" s="595" t="s">
        <v>106</v>
      </c>
      <c r="C559" s="595" t="s">
        <v>107</v>
      </c>
      <c r="D559" s="596" t="s">
        <v>108</v>
      </c>
      <c r="E559" s="148" t="s">
        <v>109</v>
      </c>
      <c r="F559" s="149"/>
      <c r="G559" s="597" t="s">
        <v>110</v>
      </c>
      <c r="H559" s="150">
        <f>IF(B558+B562+B569+B571+C568+D562+F559&gt;0,IF(B574&gt;0,B574-(IF(E562+F562+G562+B566+C566+D566+E566+F566&gt;0,ROUND((B574/30)*IF(E562+F562+G562+B566+C566+D566+E566+F566&lt;31,E562+F562+G562+B566+C566+D566+E566+F566,30),2),0)+ROUND(((B574/G558)*(B562+B569+B571+C568+D562)),2)),0),0)+IF(B558&gt;G558,IF(B574&gt;0,(B558-G558)*B576,0),0)+IF(B575&gt;0,B575*B558,0)-IF(IF(B558+B562+B569+B571+C568+D562+F559&gt;0,IF(B574&gt;0,B574-(IF(E562+F562+G562+B566+C566+D566+E566+F566&gt;0,ROUND((B574/30)*IF(E562+F562+G562+B566+C566+D566+E566+F566&lt;31,E562+F562+G562+B566+C566+D566+E566+F566,30),2),0)+ROUND(((B574/G558)*(B562+B569+B571+C568+D562)),2)),0),0)&lt;0,IF(B558+B562+B569+B571+C568+D562+F559&gt;0,IF(B574&gt;0,B574-(IF(E562+F562+G562+B566+C566+D566+E566+F566&gt;0,ROUND((B574/30)*IF(E562+F562+G562+B566+C566+D566+E566+F566&lt;31,E562+F562+G562+B566+C566+D566+E566+F566,30),2),0)+ROUND(((B574/G558)*(B562+B569+B571+C568+D562)),2)),0),0),0)</f>
        <v>0</v>
      </c>
      <c r="I559" s="151">
        <f>ROUND(D558*ROUND(B576*150%,2)+E558*ROUND(B576*200%,2),2)</f>
        <v>0</v>
      </c>
      <c r="J559" s="151">
        <f>ROUND((J557*H559),2)</f>
        <v>0</v>
      </c>
      <c r="K559" s="151"/>
      <c r="L559" s="151">
        <f>IF(C558&gt;0,C558*ROUND(B576*U$3,2),0)+IF(U$3=0,IF(C558&gt;0,C558*ROUND(20%*ROUND(E$1/G558,2),2),0))</f>
        <v>0</v>
      </c>
      <c r="M559" s="151">
        <f>IF(B562&gt;0,ROUND((B562*C571),2),0)</f>
        <v>0</v>
      </c>
      <c r="N559" s="151">
        <f>IF(B558+D558+E558+F558&gt;0,ROUND((((H559+I559+J559+L559+O559)/(B558+D558+E558+F558))*D562),2),B576*D562)</f>
        <v>0</v>
      </c>
      <c r="O559" s="151">
        <f>ROUND((F558*B576),2)</f>
        <v>0</v>
      </c>
      <c r="P559" s="151">
        <f>IF(C562&gt;0,ROUND((D571/($I$1*8*B583)),2)*C562,0)</f>
        <v>0</v>
      </c>
      <c r="Q559" s="151"/>
      <c r="R559" s="152"/>
      <c r="S559" s="153">
        <f>IF(G576&gt;500,G576-500,0)+IF(F576&gt;190,F576-190,0)</f>
        <v>0</v>
      </c>
      <c r="T559" s="593"/>
      <c r="U559" s="594"/>
      <c r="V559" s="154"/>
    </row>
    <row r="560" spans="1:21" ht="57" customHeight="1">
      <c r="A560" s="568"/>
      <c r="B560" s="554"/>
      <c r="C560" s="554"/>
      <c r="D560" s="554"/>
      <c r="E560" s="599" t="s">
        <v>112</v>
      </c>
      <c r="F560" s="599"/>
      <c r="G560" s="598"/>
      <c r="H560" s="600" t="s">
        <v>113</v>
      </c>
      <c r="I560" s="601"/>
      <c r="J560" s="601"/>
      <c r="K560" s="601"/>
      <c r="L560" s="601"/>
      <c r="M560" s="602">
        <f>H565+I565+M561</f>
        <v>0</v>
      </c>
      <c r="N560" s="603"/>
      <c r="O560" s="604" t="s">
        <v>114</v>
      </c>
      <c r="P560" s="604"/>
      <c r="Q560" s="604"/>
      <c r="R560" s="604"/>
      <c r="S560" s="156">
        <f>S561+O565</f>
        <v>0</v>
      </c>
      <c r="T560" s="605"/>
      <c r="U560" s="606"/>
    </row>
    <row r="561" spans="1:21" ht="38.25" customHeight="1">
      <c r="A561" s="568"/>
      <c r="B561" s="157"/>
      <c r="C561" s="131"/>
      <c r="D561" s="131"/>
      <c r="E561" s="158">
        <v>0.8</v>
      </c>
      <c r="F561" s="158">
        <v>1</v>
      </c>
      <c r="G561" s="159">
        <v>0.8</v>
      </c>
      <c r="H561" s="607" t="s">
        <v>115</v>
      </c>
      <c r="I561" s="608"/>
      <c r="J561" s="609" t="s">
        <v>116</v>
      </c>
      <c r="K561" s="610"/>
      <c r="L561" s="610"/>
      <c r="M561" s="611">
        <f>SUM(J565:N565)</f>
        <v>0</v>
      </c>
      <c r="N561" s="612"/>
      <c r="O561" s="160" t="s">
        <v>117</v>
      </c>
      <c r="P561" s="613" t="s">
        <v>118</v>
      </c>
      <c r="Q561" s="614"/>
      <c r="R561" s="615"/>
      <c r="S561" s="161">
        <f>SUM(P565:S565)</f>
        <v>0</v>
      </c>
      <c r="T561" s="616"/>
      <c r="U561" s="617"/>
    </row>
    <row r="562" spans="1:21" ht="40.5" customHeight="1">
      <c r="A562" s="568"/>
      <c r="B562" s="137"/>
      <c r="C562" s="137"/>
      <c r="D562" s="137"/>
      <c r="E562" s="137"/>
      <c r="F562" s="137"/>
      <c r="G562" s="139"/>
      <c r="H562" s="618" t="s">
        <v>119</v>
      </c>
      <c r="I562" s="162"/>
      <c r="J562" s="620" t="s">
        <v>120</v>
      </c>
      <c r="K562" s="595" t="s">
        <v>121</v>
      </c>
      <c r="L562" s="595" t="s">
        <v>122</v>
      </c>
      <c r="M562" s="595" t="s">
        <v>123</v>
      </c>
      <c r="N562" s="163" t="s">
        <v>124</v>
      </c>
      <c r="O562" s="622" t="s">
        <v>125</v>
      </c>
      <c r="P562" s="624" t="s">
        <v>126</v>
      </c>
      <c r="Q562" s="584" t="s">
        <v>127</v>
      </c>
      <c r="R562" s="634" t="s">
        <v>128</v>
      </c>
      <c r="S562" s="633" t="s">
        <v>129</v>
      </c>
      <c r="T562" s="164"/>
      <c r="U562" s="165"/>
    </row>
    <row r="563" spans="1:21" ht="39.75" customHeight="1">
      <c r="A563" s="568"/>
      <c r="B563" s="571" t="s">
        <v>110</v>
      </c>
      <c r="C563" s="571" t="s">
        <v>130</v>
      </c>
      <c r="D563" s="571" t="s">
        <v>131</v>
      </c>
      <c r="E563" s="571" t="s">
        <v>132</v>
      </c>
      <c r="F563" s="571" t="s">
        <v>110</v>
      </c>
      <c r="G563" s="166" t="s">
        <v>133</v>
      </c>
      <c r="H563" s="619"/>
      <c r="I563" s="167"/>
      <c r="J563" s="621"/>
      <c r="K563" s="554"/>
      <c r="L563" s="554"/>
      <c r="M563" s="554"/>
      <c r="N563" s="168" t="s">
        <v>134</v>
      </c>
      <c r="O563" s="623"/>
      <c r="P563" s="624"/>
      <c r="Q563" s="584"/>
      <c r="R563" s="634"/>
      <c r="S563" s="633"/>
      <c r="T563" s="627">
        <f>I575-S576-P575</f>
        <v>0</v>
      </c>
      <c r="U563" s="628"/>
    </row>
    <row r="564" spans="1:21" ht="35.25" customHeight="1">
      <c r="A564" s="568"/>
      <c r="B564" s="572"/>
      <c r="C564" s="572"/>
      <c r="D564" s="572"/>
      <c r="E564" s="572"/>
      <c r="F564" s="572"/>
      <c r="G564" s="139"/>
      <c r="H564" s="169">
        <f aca="true" t="shared" si="52" ref="H564:M564">IF(H565&gt;0,1,0)</f>
        <v>0</v>
      </c>
      <c r="I564" s="170">
        <f t="shared" si="52"/>
        <v>0</v>
      </c>
      <c r="J564" s="171">
        <f t="shared" si="52"/>
        <v>0</v>
      </c>
      <c r="K564" s="172">
        <f t="shared" si="52"/>
        <v>0</v>
      </c>
      <c r="L564" s="173">
        <f t="shared" si="52"/>
        <v>0</v>
      </c>
      <c r="M564" s="173">
        <f t="shared" si="52"/>
        <v>0</v>
      </c>
      <c r="N564" s="174">
        <v>0</v>
      </c>
      <c r="O564" s="175">
        <f>IF(O565&gt;0,1,0)</f>
        <v>0</v>
      </c>
      <c r="P564" s="171">
        <f>IF(P565&gt;0,1,0)</f>
        <v>0</v>
      </c>
      <c r="Q564" s="173">
        <f>IF(Q565&gt;0,1,0)</f>
        <v>0</v>
      </c>
      <c r="R564" s="173">
        <f>IF(R565&gt;0,1,0)</f>
        <v>0</v>
      </c>
      <c r="S564" s="176">
        <f>IF(S565&gt;0,1,0)</f>
        <v>0</v>
      </c>
      <c r="T564" s="627"/>
      <c r="U564" s="628"/>
    </row>
    <row r="565" spans="1:21" ht="36" customHeight="1" thickBot="1">
      <c r="A565" s="568"/>
      <c r="B565" s="177">
        <v>1</v>
      </c>
      <c r="C565" s="177">
        <v>0.8</v>
      </c>
      <c r="D565" s="572"/>
      <c r="E565" s="572"/>
      <c r="F565" s="177">
        <v>0.7</v>
      </c>
      <c r="G565" s="178">
        <v>0</v>
      </c>
      <c r="H565" s="179">
        <f>IF(E562&gt;0,ROUND((C576*E561),2)*E562,0)+IF(F562&gt;0,C576*F562,0)</f>
        <v>0</v>
      </c>
      <c r="I565" s="180"/>
      <c r="J565" s="181">
        <f>IF(G558&gt;0,IF(B558&gt;=G558,E571-((E571/22)*F571),(E571-(ROUND(((E571/22)*(((G558-B558)/8*B583)+F571)),2))))-IF(B558=0,0,0)-IF(B558&lt;=F571*8*B583,E571-ROUND(((E571/22)*(((G558-B558)/8*B583)+F571)),2),0),0)</f>
        <v>0</v>
      </c>
      <c r="K565" s="182">
        <f>G574-R565</f>
        <v>0</v>
      </c>
      <c r="L565" s="182">
        <f>IF(F576&gt;0,IF(F576&lt;190,F576,190),0)</f>
        <v>0</v>
      </c>
      <c r="M565" s="182"/>
      <c r="N565" s="183">
        <f>IF(N564&gt;0,L$3*B583*N564,0)</f>
        <v>0</v>
      </c>
      <c r="O565" s="184">
        <f>IF(C583&lt;=$P$2,IF(G576&gt;0,IF(G576&lt;500,G576,500),0),0)</f>
        <v>0</v>
      </c>
      <c r="P565" s="181">
        <f>IF(G571&gt;0,ROUND(((G571/G558)*B558),2),0)+G570</f>
        <v>0</v>
      </c>
      <c r="Q565" s="182">
        <f>IF(F569&gt;0,ROUND((F569/G558)*B558,2),0)</f>
        <v>0</v>
      </c>
      <c r="R565" s="182">
        <f>IF(G574&gt;0,IF(G574&lt;380,G574,380),0)</f>
        <v>0</v>
      </c>
      <c r="S565" s="185"/>
      <c r="T565" s="627"/>
      <c r="U565" s="628"/>
    </row>
    <row r="566" spans="1:21" ht="60" customHeight="1" thickBot="1" thickTop="1">
      <c r="A566" s="568"/>
      <c r="B566" s="137"/>
      <c r="C566" s="137"/>
      <c r="D566" s="137"/>
      <c r="E566" s="137"/>
      <c r="F566" s="137"/>
      <c r="G566" s="139">
        <f>IF(L554+L567-Q565-P565-K575-J565&gt;$F$1,IF(G565&gt;0,IF(((H575-S576-L581-L575-J565-K565-L565-O578+P583)*(100%-G565))&gt;=(($F$1*B583)-IF(ROUND(((ROUND(($F$1-C583),0.1)*E583)-D583),0.1)&gt;0,ROUND(((ROUND(($F$1-C583),0.1)*E583)-D583),0.1),0)),((H575-S576-L581-L575-J565-K565-L565-O578+P583)*G565)))+IF(G565&gt;0,IF(((H575-S576-L581-L575-J565-K565-L565-O578+P583)*(100%-G565))&lt;(($F$1*B583)-IF(ROUND(((ROUND(($F$1-C583),0.1)*E583)-D583),0.1)&gt;0,ROUND(((ROUND(($F$1-C583),0.1)*E583)-D583),0.1),0)),(H575-S576-L581-L575-J565-K565-L565-O578+P583)-(($F$1*B583)-IF(ROUND(((ROUND(($F$1-C583),0.1)*E583)-D583),0.1)&gt;0,ROUND(((ROUND(($F$1-C583),0.1)*E583)-D583),0.1),0)))),0)</f>
        <v>0</v>
      </c>
      <c r="H566" s="629" t="s">
        <v>135</v>
      </c>
      <c r="I566" s="630"/>
      <c r="J566" s="630"/>
      <c r="K566" s="575">
        <f>L567+P566</f>
        <v>0</v>
      </c>
      <c r="L566" s="576"/>
      <c r="M566" s="631" t="s">
        <v>136</v>
      </c>
      <c r="N566" s="632"/>
      <c r="O566" s="632"/>
      <c r="P566" s="575">
        <f>P567+S567</f>
        <v>0</v>
      </c>
      <c r="Q566" s="575"/>
      <c r="R566" s="186"/>
      <c r="S566" s="186"/>
      <c r="T566" s="187">
        <v>200</v>
      </c>
      <c r="U566" s="188">
        <f>ROUND(((1400/'[1]Li-pł zlec'!$V$1)*'[1]LI-PŁ-prac'!T566),2)+((H565+L567)-ROUND(((H565+L567)*$N$3),2))+O568+P568+P570+R570+S570-O575-L575-M575</f>
        <v>1750</v>
      </c>
    </row>
    <row r="567" spans="1:21" ht="119.25" customHeight="1">
      <c r="A567" s="568"/>
      <c r="B567" s="189" t="s">
        <v>137</v>
      </c>
      <c r="C567" s="190" t="s">
        <v>138</v>
      </c>
      <c r="D567" s="595" t="s">
        <v>139</v>
      </c>
      <c r="E567" s="649" t="s">
        <v>307</v>
      </c>
      <c r="F567" s="191" t="s">
        <v>140</v>
      </c>
      <c r="G567" s="192" t="s">
        <v>141</v>
      </c>
      <c r="H567" s="651" t="s">
        <v>142</v>
      </c>
      <c r="I567" s="652"/>
      <c r="J567" s="652"/>
      <c r="K567" s="652"/>
      <c r="L567" s="193">
        <f>SUM(H570:L570)</f>
        <v>0</v>
      </c>
      <c r="M567" s="625"/>
      <c r="N567" s="626"/>
      <c r="O567" s="626"/>
      <c r="P567" s="193"/>
      <c r="Q567" s="635"/>
      <c r="R567" s="636"/>
      <c r="S567" s="194"/>
      <c r="T567" s="637"/>
      <c r="U567" s="638"/>
    </row>
    <row r="568" spans="1:21" ht="141" customHeight="1" thickBot="1">
      <c r="A568" s="568"/>
      <c r="B568" s="195" t="s">
        <v>143</v>
      </c>
      <c r="C568" s="196"/>
      <c r="D568" s="554"/>
      <c r="E568" s="650"/>
      <c r="F568" s="197">
        <f>IF(F569&gt;0,1,0)</f>
        <v>0</v>
      </c>
      <c r="G568" s="155" t="s">
        <v>308</v>
      </c>
      <c r="H568" s="198" t="s">
        <v>144</v>
      </c>
      <c r="I568" s="199" t="s">
        <v>145</v>
      </c>
      <c r="J568" s="199" t="s">
        <v>146</v>
      </c>
      <c r="K568" s="199" t="s">
        <v>147</v>
      </c>
      <c r="L568" s="200" t="s">
        <v>148</v>
      </c>
      <c r="M568" s="201"/>
      <c r="N568" s="202"/>
      <c r="O568" s="203"/>
      <c r="P568" s="204"/>
      <c r="Q568" s="205"/>
      <c r="R568" s="206"/>
      <c r="S568" s="207"/>
      <c r="T568" s="637"/>
      <c r="U568" s="638"/>
    </row>
    <row r="569" spans="1:21" ht="51.75" customHeight="1">
      <c r="A569" s="568"/>
      <c r="B569" s="208"/>
      <c r="C569" s="595" t="s">
        <v>149</v>
      </c>
      <c r="D569" s="554"/>
      <c r="E569" s="209"/>
      <c r="F569" s="210">
        <f>IF(T555&gt;0,$H$3,0)</f>
        <v>0</v>
      </c>
      <c r="G569" s="211">
        <f>IF(G570+G571&gt;0,1,0)</f>
        <v>0</v>
      </c>
      <c r="H569" s="212">
        <f>IF(H570&gt;0,1,0)</f>
        <v>0</v>
      </c>
      <c r="I569" s="213">
        <f>IF(I570&gt;0,1,0)</f>
        <v>0</v>
      </c>
      <c r="J569" s="213">
        <f>IF(J570&gt;0,1,0)</f>
        <v>0</v>
      </c>
      <c r="K569" s="213">
        <f>IF(K570&gt;0,1,0)</f>
        <v>0</v>
      </c>
      <c r="L569" s="214">
        <f>IF(L570&gt;0,1,0)</f>
        <v>0</v>
      </c>
      <c r="M569" s="639" t="s">
        <v>150</v>
      </c>
      <c r="N569" s="640"/>
      <c r="O569" s="641"/>
      <c r="P569" s="642"/>
      <c r="Q569" s="215"/>
      <c r="R569" s="216"/>
      <c r="S569" s="217"/>
      <c r="T569" s="643"/>
      <c r="U569" s="644"/>
    </row>
    <row r="570" spans="1:21" ht="60.75" customHeight="1" thickBot="1">
      <c r="A570" s="568"/>
      <c r="B570" s="218" t="s">
        <v>151</v>
      </c>
      <c r="C570" s="554"/>
      <c r="D570" s="131"/>
      <c r="E570" s="219">
        <f>IF(E569&gt;0,C$3,0)</f>
        <v>0</v>
      </c>
      <c r="F570" s="220" t="s">
        <v>152</v>
      </c>
      <c r="G570" s="221"/>
      <c r="H570" s="179">
        <f>IF(G562&gt;0,(ROUND((C576*G561),2)*G562),0)+IF(B566&gt;0,(ROUND((C576*B565),2)*B566),0)+IF(F566&gt;0,(ROUND((C576*F565),2)*F566),0)</f>
        <v>0</v>
      </c>
      <c r="I570" s="182">
        <f>IF(E566&gt;0,(ROUND(((D576*D575)/30),2)*E566),0)</f>
        <v>0</v>
      </c>
      <c r="J570" s="182">
        <f>IF(C566&gt;0,(ROUND(C576*C565,2)*C566),0)</f>
        <v>0</v>
      </c>
      <c r="K570" s="182">
        <f>IF(D566&gt;0,(ROUND(C576,2)*D566),0)</f>
        <v>0</v>
      </c>
      <c r="L570" s="222">
        <f>E576</f>
        <v>0</v>
      </c>
      <c r="M570" s="645">
        <f>Q555+M560+L567</f>
        <v>0</v>
      </c>
      <c r="N570" s="646"/>
      <c r="O570" s="202"/>
      <c r="P570" s="223"/>
      <c r="Q570" s="224"/>
      <c r="R570" s="182"/>
      <c r="S570" s="185"/>
      <c r="T570" s="695" t="s">
        <v>153</v>
      </c>
      <c r="U570" s="696"/>
    </row>
    <row r="571" spans="1:21" ht="41.25" customHeight="1" thickTop="1">
      <c r="A571" s="568"/>
      <c r="B571" s="208"/>
      <c r="C571" s="208"/>
      <c r="D571" s="208"/>
      <c r="E571" s="203">
        <f>ROUND((E569*E570),2)</f>
        <v>0</v>
      </c>
      <c r="F571" s="225"/>
      <c r="G571" s="226"/>
      <c r="H571" s="653" t="s">
        <v>309</v>
      </c>
      <c r="I571" s="655" t="s">
        <v>154</v>
      </c>
      <c r="J571" s="657" t="s">
        <v>155</v>
      </c>
      <c r="K571" s="660" t="s">
        <v>156</v>
      </c>
      <c r="L571" s="661" t="s">
        <v>157</v>
      </c>
      <c r="M571" s="661"/>
      <c r="N571" s="661"/>
      <c r="O571" s="662"/>
      <c r="P571" s="663" t="s">
        <v>158</v>
      </c>
      <c r="Q571" s="227" t="s">
        <v>159</v>
      </c>
      <c r="R571" s="228" t="s">
        <v>160</v>
      </c>
      <c r="S571" s="229" t="s">
        <v>161</v>
      </c>
      <c r="T571" s="695" t="s">
        <v>162</v>
      </c>
      <c r="U571" s="696"/>
    </row>
    <row r="572" spans="1:21" ht="92.25" customHeight="1">
      <c r="A572" s="568"/>
      <c r="B572" s="664" t="s">
        <v>163</v>
      </c>
      <c r="C572" s="117" t="s">
        <v>164</v>
      </c>
      <c r="D572" s="337" t="s">
        <v>165</v>
      </c>
      <c r="E572" s="146" t="s">
        <v>166</v>
      </c>
      <c r="F572" s="697" t="s">
        <v>167</v>
      </c>
      <c r="G572" s="191" t="s">
        <v>168</v>
      </c>
      <c r="H572" s="654"/>
      <c r="I572" s="656"/>
      <c r="J572" s="658"/>
      <c r="K572" s="584"/>
      <c r="L572" s="232" t="s">
        <v>169</v>
      </c>
      <c r="M572" s="123" t="s">
        <v>170</v>
      </c>
      <c r="N572" s="136" t="s">
        <v>171</v>
      </c>
      <c r="O572" s="136" t="s">
        <v>172</v>
      </c>
      <c r="P572" s="556"/>
      <c r="Q572" s="233">
        <f>ROUND(IF(S577&gt;$N$4,IF(S577&lt;=$O$4,7866.25+((S577-$N$4)*$O$3)),0)+IF(S577&gt;$O$4,20177.65+((S577-$O$4)*$P$3),0)+IF(S577&lt;=$N$4,IF(S577*E583&gt;0,S577*E583),0),0.1)</f>
        <v>0</v>
      </c>
      <c r="R572" s="234">
        <f>IF(L567&gt;0,ROUND((ROUND((L567),0.1)*E583),0.1),0)</f>
        <v>0</v>
      </c>
      <c r="S572" s="235">
        <f>IF(Q572+R572-D583&gt;=0,Q572+R572-D583,0)+IF(D583-Q572+R572&gt;0&lt;D583+0.001,Q572+R572-D583,0)</f>
        <v>0</v>
      </c>
      <c r="T572" s="695" t="s">
        <v>173</v>
      </c>
      <c r="U572" s="696"/>
    </row>
    <row r="573" spans="1:21" ht="36.75" customHeight="1">
      <c r="A573" s="568"/>
      <c r="B573" s="665"/>
      <c r="C573" s="230"/>
      <c r="D573" s="236"/>
      <c r="E573" s="237"/>
      <c r="F573" s="698"/>
      <c r="G573" s="239" t="s">
        <v>310</v>
      </c>
      <c r="H573" s="654"/>
      <c r="I573" s="656"/>
      <c r="J573" s="658"/>
      <c r="K573" s="584"/>
      <c r="L573" s="123"/>
      <c r="M573" s="240"/>
      <c r="N573" s="241"/>
      <c r="O573" s="136"/>
      <c r="P573" s="556"/>
      <c r="Q573" s="668" t="s">
        <v>174</v>
      </c>
      <c r="R573" s="669"/>
      <c r="S573" s="235">
        <f>ROUND(IF(S572&gt;=L583,S572-L583,0),0.1)</f>
        <v>0</v>
      </c>
      <c r="T573" s="338" t="str">
        <f>L$8</f>
        <v>styczeń</v>
      </c>
      <c r="U573" s="339" t="str">
        <f>N$8</f>
        <v>2011 r.</v>
      </c>
    </row>
    <row r="574" spans="1:21" ht="48" customHeight="1">
      <c r="A574" s="568"/>
      <c r="B574" s="244">
        <f>IF(B575=0,IF(T555&gt;0,IF(T560&gt;0,IF(T560="I kl",O$1)+IF(T560="II kl",P$1)+IF(T560="III kl",Q$1),ROUND((E$1*B583),2)),0),0)</f>
        <v>0</v>
      </c>
      <c r="C574" s="118" t="s">
        <v>175</v>
      </c>
      <c r="D574" s="123" t="s">
        <v>176</v>
      </c>
      <c r="E574" s="245"/>
      <c r="F574" s="698"/>
      <c r="G574" s="139"/>
      <c r="H574" s="246">
        <f>IF(H575&gt;0,1,0)</f>
        <v>0</v>
      </c>
      <c r="I574" s="247">
        <f>IF(I575&gt;0,1,0)</f>
        <v>0</v>
      </c>
      <c r="J574" s="658"/>
      <c r="K574" s="248">
        <f aca="true" t="shared" si="53" ref="K574:P574">IF(K575&gt;0,1,0)</f>
        <v>0</v>
      </c>
      <c r="L574" s="249">
        <f t="shared" si="53"/>
        <v>0</v>
      </c>
      <c r="M574" s="250">
        <f t="shared" si="53"/>
        <v>0</v>
      </c>
      <c r="N574" s="249">
        <f t="shared" si="53"/>
        <v>0</v>
      </c>
      <c r="O574" s="251">
        <f t="shared" si="53"/>
        <v>0</v>
      </c>
      <c r="P574" s="252">
        <f t="shared" si="53"/>
        <v>0</v>
      </c>
      <c r="Q574" s="670" t="s">
        <v>177</v>
      </c>
      <c r="R574" s="253" t="s">
        <v>178</v>
      </c>
      <c r="S574" s="235">
        <v>0</v>
      </c>
      <c r="T574" s="647" t="s">
        <v>179</v>
      </c>
      <c r="U574" s="648"/>
    </row>
    <row r="575" spans="1:21" ht="57.75" customHeight="1" thickBot="1">
      <c r="A575" s="568"/>
      <c r="B575" s="254"/>
      <c r="C575" s="230"/>
      <c r="D575" s="177">
        <v>0.9</v>
      </c>
      <c r="E575" s="255">
        <f>IF(E573&gt;0,$U$1-E574,0)</f>
        <v>0</v>
      </c>
      <c r="F575" s="238">
        <f>IF(F576&gt;0,1,0)</f>
        <v>0</v>
      </c>
      <c r="G575" s="256" t="s">
        <v>180</v>
      </c>
      <c r="H575" s="257">
        <f>P554+L567-P583</f>
        <v>0</v>
      </c>
      <c r="I575" s="233">
        <f>L554+K566</f>
        <v>0</v>
      </c>
      <c r="J575" s="659"/>
      <c r="K575" s="244">
        <f>S559+K565+L565+O565+R565+O578+L581-N575</f>
        <v>0</v>
      </c>
      <c r="L575" s="244"/>
      <c r="M575" s="244">
        <f>G564+IF(G566&gt;0,G566,0)</f>
        <v>0</v>
      </c>
      <c r="N575" s="244">
        <f>L581-L583</f>
        <v>0</v>
      </c>
      <c r="O575" s="244"/>
      <c r="P575" s="258">
        <f>SUM(K575:O575)</f>
        <v>0</v>
      </c>
      <c r="Q575" s="671"/>
      <c r="R575" s="259" t="s">
        <v>181</v>
      </c>
      <c r="S575" s="235">
        <v>0</v>
      </c>
      <c r="T575" s="647" t="s">
        <v>182</v>
      </c>
      <c r="U575" s="648"/>
    </row>
    <row r="576" spans="1:21" ht="45.75" customHeight="1" thickBot="1" thickTop="1">
      <c r="A576" s="569"/>
      <c r="B576" s="244">
        <f>IF(B575=0,ROUND(IF(B574&gt;0,CEILING((B574/G558),0.01),B575),2),B575)</f>
        <v>0</v>
      </c>
      <c r="C576" s="244">
        <f>IF(T555&gt;0,(IF(C573&gt;0,ROUND(((C573-(C573*(B579+C579+D579)))/30),2),0)+IF(C575&gt;0,ROUND((C575/30),2),0))+(IF(IF(C573&gt;0,ROUND(((C573-(C573*(B579+C579+D579)))/30),2),0)+IF(C575&gt;0,ROUND((C575/30),2),0)&lt;ROUND((($F$1*B583)/30),2),(IF(C573+C575&gt;0,ROUND((($F$1*B583)/30),2)-(IF(C573&gt;0,ROUND(((C573-(C573*(B579+C579+D579)))/30),2),0)+IF(C575&gt;0,ROUND((C575/30),2),0)))),0)),0)</f>
        <v>0</v>
      </c>
      <c r="D576" s="244"/>
      <c r="E576" s="244">
        <f>IF(E575&gt;0,IF(ROUND(E573-((E573/30)*E574),2)-H578+O578&gt;0,ROUND(E573-((E573/30)*E574),2)-H578+O578,0),0)</f>
        <v>0</v>
      </c>
      <c r="F576" s="137"/>
      <c r="G576" s="139"/>
      <c r="H576" s="672" t="s">
        <v>183</v>
      </c>
      <c r="I576" s="673"/>
      <c r="J576" s="673"/>
      <c r="K576" s="673"/>
      <c r="L576" s="673"/>
      <c r="M576" s="674" t="s">
        <v>184</v>
      </c>
      <c r="N576" s="675"/>
      <c r="O576" s="260" t="s">
        <v>185</v>
      </c>
      <c r="P576" s="261" t="s">
        <v>186</v>
      </c>
      <c r="Q576" s="676" t="s">
        <v>187</v>
      </c>
      <c r="R576" s="677"/>
      <c r="S576" s="262">
        <f>ROUND((IF(S573-S574&gt;=0,S573-S574,0)+S575),0.1)</f>
        <v>0</v>
      </c>
      <c r="T576" s="263" t="str">
        <f>L$8</f>
        <v>styczeń</v>
      </c>
      <c r="U576" s="264" t="str">
        <f>N$8</f>
        <v>2011 r.</v>
      </c>
    </row>
    <row r="577" spans="1:21" ht="69.75" customHeight="1" thickBot="1" thickTop="1">
      <c r="A577" s="568"/>
      <c r="B577" s="699" t="s">
        <v>188</v>
      </c>
      <c r="C577" s="700"/>
      <c r="D577" s="700"/>
      <c r="E577" s="701"/>
      <c r="F577" s="265" t="s">
        <v>189</v>
      </c>
      <c r="G577" s="266" t="s">
        <v>190</v>
      </c>
      <c r="H577" s="267" t="s">
        <v>191</v>
      </c>
      <c r="I577" s="268" t="s">
        <v>192</v>
      </c>
      <c r="J577" s="269" t="s">
        <v>193</v>
      </c>
      <c r="K577" s="238" t="s">
        <v>194</v>
      </c>
      <c r="L577" s="270" t="s">
        <v>195</v>
      </c>
      <c r="M577" s="198" t="s">
        <v>196</v>
      </c>
      <c r="N577" s="271" t="s">
        <v>197</v>
      </c>
      <c r="O577" s="294" t="s">
        <v>198</v>
      </c>
      <c r="P577" s="273" t="s">
        <v>199</v>
      </c>
      <c r="Q577" s="340" t="s">
        <v>200</v>
      </c>
      <c r="R577" s="275" t="s">
        <v>201</v>
      </c>
      <c r="S577" s="276">
        <f>IF(ROUND((P554-P583-C583),0.1)&gt;0,ROUND((P554-P583-C583),0.1),0)</f>
        <v>0</v>
      </c>
      <c r="T577" s="277"/>
      <c r="U577" s="278"/>
    </row>
    <row r="578" spans="1:21" ht="81" customHeight="1" thickTop="1">
      <c r="A578" s="568"/>
      <c r="B578" s="279" t="s">
        <v>202</v>
      </c>
      <c r="C578" s="279" t="s">
        <v>203</v>
      </c>
      <c r="D578" s="279" t="s">
        <v>204</v>
      </c>
      <c r="E578" s="279" t="s">
        <v>205</v>
      </c>
      <c r="F578" s="279" t="s">
        <v>206</v>
      </c>
      <c r="G578" s="280">
        <f>ROUND((H578*G580),2)</f>
        <v>0</v>
      </c>
      <c r="H578" s="281">
        <f>Q555+O565</f>
        <v>0</v>
      </c>
      <c r="I578" s="282">
        <f>Q555+O565</f>
        <v>0</v>
      </c>
      <c r="J578" s="282">
        <f>Q555+O565</f>
        <v>0</v>
      </c>
      <c r="K578" s="282">
        <f>Q555+O565</f>
        <v>0</v>
      </c>
      <c r="L578" s="283">
        <f>Q555+H565+I565-O578+O565</f>
        <v>0</v>
      </c>
      <c r="M578" s="284">
        <f>IF(D573&gt;0,IF(D573&lt;$U$1,ROUND((($E$1/$U$1)*D573),2),$E$1))+IF(K570&gt;0,K570,0)</f>
        <v>0</v>
      </c>
      <c r="N578" s="285">
        <f>M578</f>
        <v>0</v>
      </c>
      <c r="O578" s="286">
        <f>SUM(H581:J581)</f>
        <v>0</v>
      </c>
      <c r="P578" s="287">
        <f>IF(P579&gt;0,1,0)</f>
        <v>0</v>
      </c>
      <c r="Q578" s="288">
        <f>ROUND((H578-O565-P583+H565+I565)*$R$3,2)</f>
        <v>0</v>
      </c>
      <c r="R578" s="681" t="s">
        <v>207</v>
      </c>
      <c r="S578" s="683" t="s">
        <v>311</v>
      </c>
      <c r="T578" s="289"/>
      <c r="U578" s="278"/>
    </row>
    <row r="579" spans="1:21" ht="38.25" customHeight="1">
      <c r="A579" s="568"/>
      <c r="B579" s="158">
        <f>IF(H578&gt;0,B$2,0)</f>
        <v>0</v>
      </c>
      <c r="C579" s="158">
        <f>IF(I578&gt;0,H$4,0)</f>
        <v>0</v>
      </c>
      <c r="D579" s="158">
        <f>IF(J578&gt;0,F$2,0)</f>
        <v>0</v>
      </c>
      <c r="E579" s="158" t="s">
        <v>208</v>
      </c>
      <c r="F579" s="290" t="s">
        <v>209</v>
      </c>
      <c r="G579" s="291">
        <v>0</v>
      </c>
      <c r="H579" s="685" t="s">
        <v>210</v>
      </c>
      <c r="I579" s="686"/>
      <c r="J579" s="686"/>
      <c r="K579" s="686"/>
      <c r="L579" s="686"/>
      <c r="M579" s="292" t="s">
        <v>211</v>
      </c>
      <c r="N579" s="293" t="s">
        <v>212</v>
      </c>
      <c r="O579" s="294" t="s">
        <v>213</v>
      </c>
      <c r="P579" s="52">
        <f>IF(I578&lt;$E$1,IF(B583=1,IF(T560=0,ROUND((I578*$L$2),2),0),0),ROUND((I578*$L$2),2))</f>
        <v>0</v>
      </c>
      <c r="Q579" s="295" t="s">
        <v>214</v>
      </c>
      <c r="R579" s="682"/>
      <c r="S579" s="684"/>
      <c r="T579" s="289"/>
      <c r="U579" s="278"/>
    </row>
    <row r="580" spans="1:21" ht="42.75" customHeight="1" thickBot="1">
      <c r="A580" s="568"/>
      <c r="B580" s="158">
        <f>IF(H578&gt;0,B$2,0)</f>
        <v>0</v>
      </c>
      <c r="C580" s="158">
        <f>IF(I578&gt;0,D$2,0)</f>
        <v>0</v>
      </c>
      <c r="D580" s="158" t="s">
        <v>208</v>
      </c>
      <c r="E580" s="158">
        <f>IF(K578&gt;0,H$2,0)</f>
        <v>0</v>
      </c>
      <c r="F580" s="158">
        <f>IF(L578&gt;0,J$2,0)</f>
        <v>0</v>
      </c>
      <c r="G580" s="158">
        <f>IF(G579&gt;0,L$1,0)</f>
        <v>0</v>
      </c>
      <c r="H580" s="296" t="s">
        <v>215</v>
      </c>
      <c r="I580" s="297" t="s">
        <v>215</v>
      </c>
      <c r="J580" s="297" t="s">
        <v>215</v>
      </c>
      <c r="K580" s="298" t="s">
        <v>209</v>
      </c>
      <c r="L580" s="299" t="s">
        <v>215</v>
      </c>
      <c r="M580" s="300">
        <f>ROUND(M578*(B$2+B$2),2)</f>
        <v>0</v>
      </c>
      <c r="N580" s="301">
        <f>ROUND(N578*(D$2+H$4),2)</f>
        <v>0</v>
      </c>
      <c r="O580" s="302">
        <f>H583+I583+K583+G578</f>
        <v>0</v>
      </c>
      <c r="P580" s="303" t="s">
        <v>216</v>
      </c>
      <c r="Q580" s="304">
        <f>ROUND((L578*J$2),2)</f>
        <v>0</v>
      </c>
      <c r="R580" s="305" t="s">
        <v>217</v>
      </c>
      <c r="S580" s="684"/>
      <c r="T580" s="289"/>
      <c r="U580" s="278"/>
    </row>
    <row r="581" spans="1:21" ht="53.25" customHeight="1" thickBot="1" thickTop="1">
      <c r="A581" s="568"/>
      <c r="B581" s="141">
        <f>IF(B579+B580&gt;0,1,0)</f>
        <v>0</v>
      </c>
      <c r="C581" s="141">
        <f>IF(C579+C580&gt;0,1,0)</f>
        <v>0</v>
      </c>
      <c r="D581" s="141">
        <f>IF(D579&gt;0,1,0)</f>
        <v>0</v>
      </c>
      <c r="E581" s="141">
        <f>IF(E580&gt;0,1,0)</f>
        <v>0</v>
      </c>
      <c r="F581" s="141">
        <f>IF(F580&gt;0,1,0)</f>
        <v>0</v>
      </c>
      <c r="G581" s="141">
        <f>IF(G580&gt;0,1,0)</f>
        <v>0</v>
      </c>
      <c r="H581" s="306">
        <f>ROUND(H578*B579,2)</f>
        <v>0</v>
      </c>
      <c r="I581" s="307">
        <f>ROUND(I578*C579,2)</f>
        <v>0</v>
      </c>
      <c r="J581" s="307">
        <f>ROUND(J578*D579,2)</f>
        <v>0</v>
      </c>
      <c r="K581" s="244" t="s">
        <v>209</v>
      </c>
      <c r="L581" s="307">
        <f>IF(S572&gt;=ROUND(L578*F580,2),ROUND(L578*F580,2),S572)</f>
        <v>0</v>
      </c>
      <c r="M581" s="687" t="s">
        <v>218</v>
      </c>
      <c r="N581" s="688"/>
      <c r="O581" s="689" t="s">
        <v>219</v>
      </c>
      <c r="P581" s="308">
        <f>IF(P582&gt;0,1,0)</f>
        <v>0</v>
      </c>
      <c r="Q581" s="309" t="s">
        <v>220</v>
      </c>
      <c r="R581" s="310">
        <f>IF(B558=G558,H559+I559+J559+L559+O559+R559+IF(K559&gt;0,ROUND((K559/K557),2),0),0)+IF(B558&lt;G558,IF(B558&gt;0,ROUND((((H559+J559)/B558)*(G558-B571)),2)+IF(K559&gt;0,ROUND((K559/K557),2),0)+I559+L559+O559+R559,0),0)</f>
        <v>0</v>
      </c>
      <c r="S581" s="235">
        <f>IF(S573-S574&lt;0,S574-S573,0)</f>
        <v>0</v>
      </c>
      <c r="T581" s="289"/>
      <c r="U581" s="278"/>
    </row>
    <row r="582" spans="1:22" ht="63" customHeight="1" thickBot="1" thickTop="1">
      <c r="A582" s="568"/>
      <c r="B582" s="311" t="s">
        <v>221</v>
      </c>
      <c r="C582" s="311" t="s">
        <v>222</v>
      </c>
      <c r="D582" s="311" t="s">
        <v>34</v>
      </c>
      <c r="E582" s="146" t="s">
        <v>223</v>
      </c>
      <c r="F582" s="312" t="s">
        <v>224</v>
      </c>
      <c r="G582" s="139">
        <f>IF(Q578&gt;Q572,Q578-Q572,0)</f>
        <v>0</v>
      </c>
      <c r="H582" s="313" t="s">
        <v>225</v>
      </c>
      <c r="I582" s="314" t="s">
        <v>225</v>
      </c>
      <c r="J582" s="298" t="s">
        <v>209</v>
      </c>
      <c r="K582" s="315" t="s">
        <v>225</v>
      </c>
      <c r="L582" s="316" t="s">
        <v>226</v>
      </c>
      <c r="M582" s="317" t="s">
        <v>227</v>
      </c>
      <c r="N582" s="318" t="s">
        <v>228</v>
      </c>
      <c r="O582" s="690"/>
      <c r="P582" s="319">
        <f>ROUND(N$2*H578,2)</f>
        <v>0</v>
      </c>
      <c r="Q582" s="320">
        <f>IF(D573&gt;0,$U$2,0)</f>
        <v>0</v>
      </c>
      <c r="R582" s="321" t="s">
        <v>229</v>
      </c>
      <c r="S582" s="322" t="s">
        <v>230</v>
      </c>
      <c r="T582" s="691" t="s">
        <v>231</v>
      </c>
      <c r="U582" s="702"/>
      <c r="V582" s="323">
        <f>IF(ISBLANK(AM554),0,IF(IF(AF569&gt;=AI$2,AI$2,AF569)&gt;0,IF(AF569&gt;=AI$2,AI$2,AF569),0))</f>
        <v>0</v>
      </c>
    </row>
    <row r="583" spans="1:22" ht="42" customHeight="1" thickBot="1" thickTop="1">
      <c r="A583" s="570"/>
      <c r="B583" s="324">
        <f>IF(ISBLANK(T555),0,1)</f>
        <v>0</v>
      </c>
      <c r="C583" s="324">
        <f>IF(ISBLANK(T555),0,IF(IF(M570&gt;=P$2,P$2,M570)&gt;0,IF(M570&gt;=P$2,P$2,M570),0))</f>
        <v>0</v>
      </c>
      <c r="D583" s="324">
        <f>IF(ISBLANK(T555),0,S$1)</f>
        <v>0</v>
      </c>
      <c r="E583" s="325">
        <f>IF(G558&gt;0,$N$3,0)</f>
        <v>0</v>
      </c>
      <c r="F583" s="326">
        <f>O578+O580+P579+P582+L581+S576</f>
        <v>0</v>
      </c>
      <c r="G583" s="327">
        <f>IF(G582&gt;0,1,0)</f>
        <v>0</v>
      </c>
      <c r="H583" s="328">
        <f>ROUND(H578*B579,2)</f>
        <v>0</v>
      </c>
      <c r="I583" s="329">
        <f>ROUND(I578*C580,2)</f>
        <v>0</v>
      </c>
      <c r="J583" s="182" t="s">
        <v>209</v>
      </c>
      <c r="K583" s="330">
        <f>ROUND(K578*E580,2)</f>
        <v>0</v>
      </c>
      <c r="L583" s="185">
        <f>IF(S572&gt;=ROUND((H578-O565-P583+H565+I565)*$R$3,2),ROUND((H578-O565-P583+H565+I565)*$R$3,2),S572)</f>
        <v>0</v>
      </c>
      <c r="M583" s="179">
        <f>O578+O580</f>
        <v>0</v>
      </c>
      <c r="N583" s="331">
        <f>M583+L581</f>
        <v>0</v>
      </c>
      <c r="O583" s="332">
        <f>SUM(M580:N580)</f>
        <v>0</v>
      </c>
      <c r="P583" s="333">
        <f>ROUND(Q555*B579,2)+ROUND(Q555*C579,2)+ROUND(Q555*D579,2)</f>
        <v>0</v>
      </c>
      <c r="Q583" s="334">
        <f>IF(D573&gt;0,ROUND(($U$2*J$2),2),0)</f>
        <v>0</v>
      </c>
      <c r="R583" s="335">
        <f>IF(B558&gt;=G558/2,IF(B558=G558,H559+I559+J559+L559+O559+P559+R559+IF(K559&gt;0,ROUND((K559/K557),2),0),ROUND((((H559+J559+L559)/B558)*(G558-B571)),2)+IF(K559&gt;0,ROUND((K559/K557),2),0)+I559+O559+P559+R559),0)</f>
        <v>0</v>
      </c>
      <c r="S583" s="336">
        <f>IF(P554-O578-S576-L581&gt;0,P554-O578-S576-L581,0)</f>
        <v>0</v>
      </c>
      <c r="T583" s="693" t="s">
        <v>232</v>
      </c>
      <c r="U583" s="703"/>
      <c r="V583" s="323">
        <f>IF(ISBLANK(AM555),0,IF(IF(AF570&gt;=AJ$2,AJ$2,AF570)&gt;0,IF(AF570&gt;=AJ$2,AJ$2,AF570),0))</f>
        <v>0</v>
      </c>
    </row>
    <row r="584" ht="24" customHeight="1" thickTop="1"/>
    <row r="585" spans="1:23" ht="33" customHeight="1" thickBot="1">
      <c r="A585" s="111" t="s">
        <v>72</v>
      </c>
      <c r="B585" s="112" t="s">
        <v>73</v>
      </c>
      <c r="C585" s="113"/>
      <c r="D585" s="113"/>
      <c r="E585" s="114"/>
      <c r="F585" s="553" t="s">
        <v>74</v>
      </c>
      <c r="G585" s="555" t="s">
        <v>75</v>
      </c>
      <c r="H585" s="557" t="s">
        <v>76</v>
      </c>
      <c r="I585" s="557"/>
      <c r="J585" s="558"/>
      <c r="K585" s="559"/>
      <c r="L585" s="560"/>
      <c r="M585" s="560"/>
      <c r="N585" s="560"/>
      <c r="O585" s="561"/>
      <c r="P585" s="559"/>
      <c r="Q585" s="560"/>
      <c r="R585" s="560"/>
      <c r="S585" s="560"/>
      <c r="T585" s="565" t="s">
        <v>77</v>
      </c>
      <c r="U585" s="566"/>
      <c r="V585" s="102"/>
      <c r="W585" s="115"/>
    </row>
    <row r="586" spans="1:23" ht="44.25" customHeight="1" thickBot="1" thickTop="1">
      <c r="A586" s="567">
        <f>A554+1</f>
        <v>19</v>
      </c>
      <c r="B586" s="571" t="s">
        <v>79</v>
      </c>
      <c r="C586" s="571" t="s">
        <v>80</v>
      </c>
      <c r="D586" s="573" t="s">
        <v>81</v>
      </c>
      <c r="E586" s="573"/>
      <c r="F586" s="554"/>
      <c r="G586" s="556"/>
      <c r="H586" s="574" t="s">
        <v>82</v>
      </c>
      <c r="I586" s="574"/>
      <c r="J586" s="574"/>
      <c r="K586" s="574"/>
      <c r="L586" s="575">
        <f>P586+S592</f>
        <v>0</v>
      </c>
      <c r="M586" s="576"/>
      <c r="N586" s="577" t="s">
        <v>83</v>
      </c>
      <c r="O586" s="578"/>
      <c r="P586" s="575">
        <f>Q587+M592</f>
        <v>0</v>
      </c>
      <c r="Q586" s="576"/>
      <c r="R586" s="119"/>
      <c r="S586" s="120"/>
      <c r="T586" s="121"/>
      <c r="U586" s="122"/>
      <c r="V586" s="102"/>
      <c r="W586" s="115"/>
    </row>
    <row r="587" spans="1:23" ht="36.75" customHeight="1">
      <c r="A587" s="568"/>
      <c r="B587" s="572"/>
      <c r="C587" s="572"/>
      <c r="D587" s="124" t="s">
        <v>85</v>
      </c>
      <c r="E587" s="124" t="s">
        <v>86</v>
      </c>
      <c r="F587" s="554"/>
      <c r="G587" s="556"/>
      <c r="H587" s="562" t="s">
        <v>87</v>
      </c>
      <c r="I587" s="563"/>
      <c r="J587" s="563"/>
      <c r="K587" s="563"/>
      <c r="L587" s="563"/>
      <c r="M587" s="563"/>
      <c r="N587" s="563"/>
      <c r="O587" s="563"/>
      <c r="P587" s="564"/>
      <c r="Q587" s="579">
        <f>SUM(H591:S591)</f>
        <v>0</v>
      </c>
      <c r="R587" s="580"/>
      <c r="S587" s="125"/>
      <c r="T587" s="581"/>
      <c r="U587" s="582"/>
      <c r="V587" s="102"/>
      <c r="W587" s="115"/>
    </row>
    <row r="588" spans="1:23" ht="38.25" customHeight="1">
      <c r="A588" s="568"/>
      <c r="B588" s="572"/>
      <c r="C588" s="126"/>
      <c r="D588" s="124" t="s">
        <v>89</v>
      </c>
      <c r="E588" s="124" t="s">
        <v>89</v>
      </c>
      <c r="F588" s="554"/>
      <c r="G588" s="127"/>
      <c r="H588" s="128" t="s">
        <v>90</v>
      </c>
      <c r="I588" s="129" t="s">
        <v>91</v>
      </c>
      <c r="J588" s="129" t="s">
        <v>92</v>
      </c>
      <c r="K588" s="130" t="s">
        <v>93</v>
      </c>
      <c r="L588" s="583" t="s">
        <v>94</v>
      </c>
      <c r="M588" s="583" t="s">
        <v>95</v>
      </c>
      <c r="N588" s="583" t="s">
        <v>96</v>
      </c>
      <c r="O588" s="585" t="s">
        <v>97</v>
      </c>
      <c r="P588" s="583" t="s">
        <v>98</v>
      </c>
      <c r="Q588" s="587" t="s">
        <v>99</v>
      </c>
      <c r="R588" s="589" t="s">
        <v>100</v>
      </c>
      <c r="S588" s="591" t="s">
        <v>101</v>
      </c>
      <c r="T588" s="581"/>
      <c r="U588" s="582"/>
      <c r="V588" s="102"/>
      <c r="W588" s="115"/>
    </row>
    <row r="589" spans="1:23" ht="30" customHeight="1">
      <c r="A589" s="568"/>
      <c r="B589" s="572"/>
      <c r="C589" s="131"/>
      <c r="D589" s="131"/>
      <c r="E589" s="131"/>
      <c r="F589" s="554"/>
      <c r="G589" s="127"/>
      <c r="H589" s="132" t="s">
        <v>103</v>
      </c>
      <c r="I589" s="133" t="s">
        <v>104</v>
      </c>
      <c r="J589" s="134">
        <v>0</v>
      </c>
      <c r="K589" s="135">
        <v>1</v>
      </c>
      <c r="L589" s="584"/>
      <c r="M589" s="584"/>
      <c r="N589" s="584"/>
      <c r="O589" s="586"/>
      <c r="P589" s="584"/>
      <c r="Q589" s="588"/>
      <c r="R589" s="590"/>
      <c r="S589" s="592"/>
      <c r="T589" s="581"/>
      <c r="U589" s="582"/>
      <c r="V589" s="102"/>
      <c r="W589" s="115"/>
    </row>
    <row r="590" spans="1:21" ht="51" customHeight="1">
      <c r="A590" s="568"/>
      <c r="B590" s="137">
        <f>G590</f>
        <v>0</v>
      </c>
      <c r="C590" s="137"/>
      <c r="D590" s="137"/>
      <c r="E590" s="138"/>
      <c r="F590" s="138"/>
      <c r="G590" s="139">
        <f>B$1*B615</f>
        <v>0</v>
      </c>
      <c r="H590" s="140">
        <f aca="true" t="shared" si="54" ref="H590:S590">IF(H591&gt;0,1,0)</f>
        <v>0</v>
      </c>
      <c r="I590" s="141">
        <f t="shared" si="54"/>
        <v>0</v>
      </c>
      <c r="J590" s="141">
        <f t="shared" si="54"/>
        <v>0</v>
      </c>
      <c r="K590" s="142">
        <f t="shared" si="54"/>
        <v>0</v>
      </c>
      <c r="L590" s="142">
        <f t="shared" si="54"/>
        <v>0</v>
      </c>
      <c r="M590" s="142">
        <f t="shared" si="54"/>
        <v>0</v>
      </c>
      <c r="N590" s="142">
        <f t="shared" si="54"/>
        <v>0</v>
      </c>
      <c r="O590" s="141">
        <f t="shared" si="54"/>
        <v>0</v>
      </c>
      <c r="P590" s="142">
        <f t="shared" si="54"/>
        <v>0</v>
      </c>
      <c r="Q590" s="142">
        <f t="shared" si="54"/>
        <v>0</v>
      </c>
      <c r="R590" s="143">
        <f t="shared" si="54"/>
        <v>0</v>
      </c>
      <c r="S590" s="144">
        <f t="shared" si="54"/>
        <v>0</v>
      </c>
      <c r="T590" s="593"/>
      <c r="U590" s="594"/>
    </row>
    <row r="591" spans="1:22" ht="49.5" customHeight="1" thickBot="1">
      <c r="A591" s="568"/>
      <c r="B591" s="595" t="s">
        <v>106</v>
      </c>
      <c r="C591" s="595" t="s">
        <v>107</v>
      </c>
      <c r="D591" s="596" t="s">
        <v>108</v>
      </c>
      <c r="E591" s="148" t="s">
        <v>109</v>
      </c>
      <c r="F591" s="149"/>
      <c r="G591" s="597" t="s">
        <v>110</v>
      </c>
      <c r="H591" s="150">
        <f>IF(B590+B594+B601+B603+C600+D594+F591&gt;0,IF(B606&gt;0,B606-(IF(E594+F594+G594+B598+C598+D598+E598+F598&gt;0,ROUND((B606/30)*IF(E594+F594+G594+B598+C598+D598+E598+F598&lt;31,E594+F594+G594+B598+C598+D598+E598+F598,30),2),0)+ROUND(((B606/G590)*(B594+B601+B603+C600+D594)),2)),0),0)+IF(B590&gt;G590,IF(B606&gt;0,(B590-G590)*B608,0),0)+IF(B607&gt;0,B607*B590,0)-IF(IF(B590+B594+B601+B603+C600+D594+F591&gt;0,IF(B606&gt;0,B606-(IF(E594+F594+G594+B598+C598+D598+E598+F598&gt;0,ROUND((B606/30)*IF(E594+F594+G594+B598+C598+D598+E598+F598&lt;31,E594+F594+G594+B598+C598+D598+E598+F598,30),2),0)+ROUND(((B606/G590)*(B594+B601+B603+C600+D594)),2)),0),0)&lt;0,IF(B590+B594+B601+B603+C600+D594+F591&gt;0,IF(B606&gt;0,B606-(IF(E594+F594+G594+B598+C598+D598+E598+F598&gt;0,ROUND((B606/30)*IF(E594+F594+G594+B598+C598+D598+E598+F598&lt;31,E594+F594+G594+B598+C598+D598+E598+F598,30),2),0)+ROUND(((B606/G590)*(B594+B601+B603+C600+D594)),2)),0),0),0)</f>
        <v>0</v>
      </c>
      <c r="I591" s="151">
        <f>ROUND(D590*ROUND(B608*150%,2)+E590*ROUND(B608*200%,2),2)</f>
        <v>0</v>
      </c>
      <c r="J591" s="151">
        <f>ROUND((J589*H591),2)</f>
        <v>0</v>
      </c>
      <c r="K591" s="151"/>
      <c r="L591" s="151">
        <f>IF(C590&gt;0,C590*ROUND(B608*U$3,2),0)+IF(U$3=0,IF(C590&gt;0,C590*ROUND(20%*ROUND(E$1/G590,2),2),0))</f>
        <v>0</v>
      </c>
      <c r="M591" s="151">
        <f>IF(B594&gt;0,ROUND((B594*C603),2),0)</f>
        <v>0</v>
      </c>
      <c r="N591" s="151">
        <f>IF(B590+D590+E590+F590&gt;0,ROUND((((H591+I591+J591+L591+O591)/(B590+D590+E590+F590))*D594),2),B608*D594)</f>
        <v>0</v>
      </c>
      <c r="O591" s="151">
        <f>ROUND((F590*B608),2)</f>
        <v>0</v>
      </c>
      <c r="P591" s="151">
        <f>IF(C594&gt;0,ROUND((D603/($I$1*8*B615)),2)*C594,0)</f>
        <v>0</v>
      </c>
      <c r="Q591" s="151"/>
      <c r="R591" s="152"/>
      <c r="S591" s="153">
        <f>IF(G608&gt;500,G608-500,0)+IF(F608&gt;190,F608-190,0)</f>
        <v>0</v>
      </c>
      <c r="T591" s="593"/>
      <c r="U591" s="594"/>
      <c r="V591" s="154"/>
    </row>
    <row r="592" spans="1:21" ht="57" customHeight="1">
      <c r="A592" s="568"/>
      <c r="B592" s="554"/>
      <c r="C592" s="554"/>
      <c r="D592" s="554"/>
      <c r="E592" s="599" t="s">
        <v>112</v>
      </c>
      <c r="F592" s="599"/>
      <c r="G592" s="598"/>
      <c r="H592" s="600" t="s">
        <v>113</v>
      </c>
      <c r="I592" s="601"/>
      <c r="J592" s="601"/>
      <c r="K592" s="601"/>
      <c r="L592" s="601"/>
      <c r="M592" s="602">
        <f>H597+I597+M593</f>
        <v>0</v>
      </c>
      <c r="N592" s="603"/>
      <c r="O592" s="604" t="s">
        <v>114</v>
      </c>
      <c r="P592" s="604"/>
      <c r="Q592" s="604"/>
      <c r="R592" s="604"/>
      <c r="S592" s="156">
        <f>S593+O597</f>
        <v>0</v>
      </c>
      <c r="T592" s="605"/>
      <c r="U592" s="606"/>
    </row>
    <row r="593" spans="1:21" ht="38.25" customHeight="1">
      <c r="A593" s="568"/>
      <c r="B593" s="157"/>
      <c r="C593" s="131"/>
      <c r="D593" s="131"/>
      <c r="E593" s="158">
        <v>0.8</v>
      </c>
      <c r="F593" s="158">
        <v>1</v>
      </c>
      <c r="G593" s="159">
        <v>0.8</v>
      </c>
      <c r="H593" s="607" t="s">
        <v>115</v>
      </c>
      <c r="I593" s="608"/>
      <c r="J593" s="609" t="s">
        <v>116</v>
      </c>
      <c r="K593" s="610"/>
      <c r="L593" s="610"/>
      <c r="M593" s="611">
        <f>SUM(J597:N597)</f>
        <v>0</v>
      </c>
      <c r="N593" s="612"/>
      <c r="O593" s="160" t="s">
        <v>117</v>
      </c>
      <c r="P593" s="613" t="s">
        <v>118</v>
      </c>
      <c r="Q593" s="614"/>
      <c r="R593" s="615"/>
      <c r="S593" s="161">
        <f>SUM(P597:S597)</f>
        <v>0</v>
      </c>
      <c r="T593" s="616"/>
      <c r="U593" s="617"/>
    </row>
    <row r="594" spans="1:21" ht="40.5" customHeight="1">
      <c r="A594" s="568"/>
      <c r="B594" s="137"/>
      <c r="C594" s="137"/>
      <c r="D594" s="137"/>
      <c r="E594" s="137"/>
      <c r="F594" s="137"/>
      <c r="G594" s="139"/>
      <c r="H594" s="618" t="s">
        <v>119</v>
      </c>
      <c r="I594" s="162"/>
      <c r="J594" s="620" t="s">
        <v>120</v>
      </c>
      <c r="K594" s="595" t="s">
        <v>121</v>
      </c>
      <c r="L594" s="595" t="s">
        <v>122</v>
      </c>
      <c r="M594" s="595" t="s">
        <v>123</v>
      </c>
      <c r="N594" s="163" t="s">
        <v>124</v>
      </c>
      <c r="O594" s="622" t="s">
        <v>125</v>
      </c>
      <c r="P594" s="624" t="s">
        <v>126</v>
      </c>
      <c r="Q594" s="584" t="s">
        <v>127</v>
      </c>
      <c r="R594" s="634" t="s">
        <v>128</v>
      </c>
      <c r="S594" s="633" t="s">
        <v>129</v>
      </c>
      <c r="T594" s="164"/>
      <c r="U594" s="165"/>
    </row>
    <row r="595" spans="1:21" ht="39.75" customHeight="1">
      <c r="A595" s="568"/>
      <c r="B595" s="571" t="s">
        <v>110</v>
      </c>
      <c r="C595" s="571" t="s">
        <v>130</v>
      </c>
      <c r="D595" s="571" t="s">
        <v>131</v>
      </c>
      <c r="E595" s="571" t="s">
        <v>132</v>
      </c>
      <c r="F595" s="571" t="s">
        <v>110</v>
      </c>
      <c r="G595" s="166" t="s">
        <v>133</v>
      </c>
      <c r="H595" s="619"/>
      <c r="I595" s="167"/>
      <c r="J595" s="621"/>
      <c r="K595" s="554"/>
      <c r="L595" s="554"/>
      <c r="M595" s="554"/>
      <c r="N595" s="168" t="s">
        <v>134</v>
      </c>
      <c r="O595" s="623"/>
      <c r="P595" s="624"/>
      <c r="Q595" s="584"/>
      <c r="R595" s="634"/>
      <c r="S595" s="633"/>
      <c r="T595" s="627">
        <f>I607-S608-P607</f>
        <v>0</v>
      </c>
      <c r="U595" s="628"/>
    </row>
    <row r="596" spans="1:21" ht="35.25" customHeight="1">
      <c r="A596" s="568"/>
      <c r="B596" s="572"/>
      <c r="C596" s="572"/>
      <c r="D596" s="572"/>
      <c r="E596" s="572"/>
      <c r="F596" s="572"/>
      <c r="G596" s="139"/>
      <c r="H596" s="169">
        <f aca="true" t="shared" si="55" ref="H596:M596">IF(H597&gt;0,1,0)</f>
        <v>0</v>
      </c>
      <c r="I596" s="170">
        <f t="shared" si="55"/>
        <v>0</v>
      </c>
      <c r="J596" s="171">
        <f t="shared" si="55"/>
        <v>0</v>
      </c>
      <c r="K596" s="172">
        <f t="shared" si="55"/>
        <v>0</v>
      </c>
      <c r="L596" s="173">
        <f t="shared" si="55"/>
        <v>0</v>
      </c>
      <c r="M596" s="173">
        <f t="shared" si="55"/>
        <v>0</v>
      </c>
      <c r="N596" s="174">
        <v>0</v>
      </c>
      <c r="O596" s="175">
        <f>IF(O597&gt;0,1,0)</f>
        <v>0</v>
      </c>
      <c r="P596" s="171">
        <f>IF(P597&gt;0,1,0)</f>
        <v>0</v>
      </c>
      <c r="Q596" s="173">
        <f>IF(Q597&gt;0,1,0)</f>
        <v>0</v>
      </c>
      <c r="R596" s="173">
        <f>IF(R597&gt;0,1,0)</f>
        <v>0</v>
      </c>
      <c r="S596" s="176">
        <f>IF(S597&gt;0,1,0)</f>
        <v>0</v>
      </c>
      <c r="T596" s="627"/>
      <c r="U596" s="628"/>
    </row>
    <row r="597" spans="1:21" ht="36" customHeight="1" thickBot="1">
      <c r="A597" s="568"/>
      <c r="B597" s="177">
        <v>1</v>
      </c>
      <c r="C597" s="177">
        <v>0.8</v>
      </c>
      <c r="D597" s="572"/>
      <c r="E597" s="572"/>
      <c r="F597" s="177">
        <v>0.7</v>
      </c>
      <c r="G597" s="178">
        <v>0</v>
      </c>
      <c r="H597" s="179">
        <f>IF(E594&gt;0,ROUND((C608*E593),2)*E594,0)+IF(F594&gt;0,C608*F594,0)</f>
        <v>0</v>
      </c>
      <c r="I597" s="180"/>
      <c r="J597" s="181">
        <f>IF(G590&gt;0,IF(B590&gt;=G590,E603-((E603/22)*F603),(E603-(ROUND(((E603/22)*(((G590-B590)/8*B615)+F603)),2))))-IF(B590=0,0,0)-IF(B590&lt;=F603*8*B615,E603-ROUND(((E603/22)*(((G590-B590)/8*B615)+F603)),2),0),0)</f>
        <v>0</v>
      </c>
      <c r="K597" s="182">
        <f>G606-R597</f>
        <v>0</v>
      </c>
      <c r="L597" s="182">
        <f>IF(F608&gt;0,IF(F608&lt;190,F608,190),0)</f>
        <v>0</v>
      </c>
      <c r="M597" s="182"/>
      <c r="N597" s="183">
        <f>IF(N596&gt;0,L$3*B615*N596,0)</f>
        <v>0</v>
      </c>
      <c r="O597" s="184">
        <f>IF(C615&lt;=$P$2,IF(G608&gt;0,IF(G608&lt;500,G608,500),0),0)</f>
        <v>0</v>
      </c>
      <c r="P597" s="181">
        <f>IF(G603&gt;0,ROUND(((G603/G590)*B590),2),0)+G602</f>
        <v>0</v>
      </c>
      <c r="Q597" s="182">
        <f>IF(F601&gt;0,ROUND((F601/G590)*B590,2),0)</f>
        <v>0</v>
      </c>
      <c r="R597" s="182">
        <f>IF(G606&gt;0,IF(G606&lt;380,G606,380),0)</f>
        <v>0</v>
      </c>
      <c r="S597" s="185"/>
      <c r="T597" s="627"/>
      <c r="U597" s="628"/>
    </row>
    <row r="598" spans="1:21" ht="60" customHeight="1" thickBot="1" thickTop="1">
      <c r="A598" s="568"/>
      <c r="B598" s="137"/>
      <c r="C598" s="137"/>
      <c r="D598" s="137"/>
      <c r="E598" s="137"/>
      <c r="F598" s="137"/>
      <c r="G598" s="139">
        <f>IF(L586+L599-Q597-P597-K607-J597&gt;$F$1,IF(G597&gt;0,IF(((H607-S608-L613-L607-J597-K597-L597-O610+P615)*(100%-G597))&gt;=(($F$1*B615)-IF(ROUND(((ROUND(($F$1-C615),0.1)*E615)-D615),0.1)&gt;0,ROUND(((ROUND(($F$1-C615),0.1)*E615)-D615),0.1),0)),((H607-S608-L613-L607-J597-K597-L597-O610+P615)*G597)))+IF(G597&gt;0,IF(((H607-S608-L613-L607-J597-K597-L597-O610+P615)*(100%-G597))&lt;(($F$1*B615)-IF(ROUND(((ROUND(($F$1-C615),0.1)*E615)-D615),0.1)&gt;0,ROUND(((ROUND(($F$1-C615),0.1)*E615)-D615),0.1),0)),(H607-S608-L613-L607-J597-K597-L597-O610+P615)-(($F$1*B615)-IF(ROUND(((ROUND(($F$1-C615),0.1)*E615)-D615),0.1)&gt;0,ROUND(((ROUND(($F$1-C615),0.1)*E615)-D615),0.1),0)))),0)</f>
        <v>0</v>
      </c>
      <c r="H598" s="629" t="s">
        <v>135</v>
      </c>
      <c r="I598" s="630"/>
      <c r="J598" s="630"/>
      <c r="K598" s="575">
        <f>L599+P598</f>
        <v>0</v>
      </c>
      <c r="L598" s="576"/>
      <c r="M598" s="631" t="s">
        <v>136</v>
      </c>
      <c r="N598" s="632"/>
      <c r="O598" s="632"/>
      <c r="P598" s="575">
        <f>P599+S599</f>
        <v>0</v>
      </c>
      <c r="Q598" s="575"/>
      <c r="R598" s="186"/>
      <c r="S598" s="186"/>
      <c r="T598" s="187">
        <v>200</v>
      </c>
      <c r="U598" s="188">
        <f>ROUND(((1400/'[1]Li-pł zlec'!$V$1)*'[1]LI-PŁ-prac'!T598),2)+((H597+L599)-ROUND(((H597+L599)*$N$3),2))+O600+P600+P602+R602+S602-O607-L607-M607</f>
        <v>1750</v>
      </c>
    </row>
    <row r="599" spans="1:21" ht="119.25" customHeight="1">
      <c r="A599" s="568"/>
      <c r="B599" s="189" t="s">
        <v>137</v>
      </c>
      <c r="C599" s="190" t="s">
        <v>138</v>
      </c>
      <c r="D599" s="595" t="s">
        <v>139</v>
      </c>
      <c r="E599" s="649" t="s">
        <v>307</v>
      </c>
      <c r="F599" s="191" t="s">
        <v>140</v>
      </c>
      <c r="G599" s="192" t="s">
        <v>141</v>
      </c>
      <c r="H599" s="651" t="s">
        <v>142</v>
      </c>
      <c r="I599" s="652"/>
      <c r="J599" s="652"/>
      <c r="K599" s="652"/>
      <c r="L599" s="193">
        <f>SUM(H602:L602)</f>
        <v>0</v>
      </c>
      <c r="M599" s="625"/>
      <c r="N599" s="626"/>
      <c r="O599" s="626"/>
      <c r="P599" s="193"/>
      <c r="Q599" s="635"/>
      <c r="R599" s="636"/>
      <c r="S599" s="194"/>
      <c r="T599" s="637"/>
      <c r="U599" s="638"/>
    </row>
    <row r="600" spans="1:21" ht="141" customHeight="1" thickBot="1">
      <c r="A600" s="568"/>
      <c r="B600" s="195" t="s">
        <v>143</v>
      </c>
      <c r="C600" s="196"/>
      <c r="D600" s="554"/>
      <c r="E600" s="650"/>
      <c r="F600" s="197">
        <f>IF(F601&gt;0,1,0)</f>
        <v>0</v>
      </c>
      <c r="G600" s="155" t="s">
        <v>308</v>
      </c>
      <c r="H600" s="198" t="s">
        <v>144</v>
      </c>
      <c r="I600" s="199" t="s">
        <v>145</v>
      </c>
      <c r="J600" s="199" t="s">
        <v>146</v>
      </c>
      <c r="K600" s="199" t="s">
        <v>147</v>
      </c>
      <c r="L600" s="200" t="s">
        <v>148</v>
      </c>
      <c r="M600" s="201"/>
      <c r="N600" s="202"/>
      <c r="O600" s="203"/>
      <c r="P600" s="204"/>
      <c r="Q600" s="205"/>
      <c r="R600" s="206"/>
      <c r="S600" s="207"/>
      <c r="T600" s="637"/>
      <c r="U600" s="638"/>
    </row>
    <row r="601" spans="1:21" ht="51.75" customHeight="1">
      <c r="A601" s="568"/>
      <c r="B601" s="208"/>
      <c r="C601" s="595" t="s">
        <v>149</v>
      </c>
      <c r="D601" s="554"/>
      <c r="E601" s="209"/>
      <c r="F601" s="210">
        <f>IF(T587&gt;0,$H$3,0)</f>
        <v>0</v>
      </c>
      <c r="G601" s="211">
        <f>IF(G602+G603&gt;0,1,0)</f>
        <v>0</v>
      </c>
      <c r="H601" s="212">
        <f>IF(H602&gt;0,1,0)</f>
        <v>0</v>
      </c>
      <c r="I601" s="213">
        <f>IF(I602&gt;0,1,0)</f>
        <v>0</v>
      </c>
      <c r="J601" s="213">
        <f>IF(J602&gt;0,1,0)</f>
        <v>0</v>
      </c>
      <c r="K601" s="213">
        <f>IF(K602&gt;0,1,0)</f>
        <v>0</v>
      </c>
      <c r="L601" s="214">
        <f>IF(L602&gt;0,1,0)</f>
        <v>0</v>
      </c>
      <c r="M601" s="639" t="s">
        <v>150</v>
      </c>
      <c r="N601" s="640"/>
      <c r="O601" s="641"/>
      <c r="P601" s="642"/>
      <c r="Q601" s="215"/>
      <c r="R601" s="216"/>
      <c r="S601" s="217"/>
      <c r="T601" s="643"/>
      <c r="U601" s="644"/>
    </row>
    <row r="602" spans="1:21" ht="60.75" customHeight="1" thickBot="1">
      <c r="A602" s="568"/>
      <c r="B602" s="218" t="s">
        <v>151</v>
      </c>
      <c r="C602" s="554"/>
      <c r="D602" s="131"/>
      <c r="E602" s="219">
        <f>IF(E601&gt;0,C$3,0)</f>
        <v>0</v>
      </c>
      <c r="F602" s="220" t="s">
        <v>152</v>
      </c>
      <c r="G602" s="221"/>
      <c r="H602" s="179">
        <f>IF(G594&gt;0,(ROUND((C608*G593),2)*G594),0)+IF(B598&gt;0,(ROUND((C608*B597),2)*B598),0)+IF(F598&gt;0,(ROUND((C608*F597),2)*F598),0)</f>
        <v>0</v>
      </c>
      <c r="I602" s="182">
        <f>IF(E598&gt;0,(ROUND(((D608*D607)/30),2)*E598),0)</f>
        <v>0</v>
      </c>
      <c r="J602" s="182">
        <f>IF(C598&gt;0,(ROUND(C608*C597,2)*C598),0)</f>
        <v>0</v>
      </c>
      <c r="K602" s="182">
        <f>IF(D598&gt;0,(ROUND(C608,2)*D598),0)</f>
        <v>0</v>
      </c>
      <c r="L602" s="222">
        <f>E608</f>
        <v>0</v>
      </c>
      <c r="M602" s="645">
        <f>Q587+M592+L599</f>
        <v>0</v>
      </c>
      <c r="N602" s="646"/>
      <c r="O602" s="202"/>
      <c r="P602" s="223"/>
      <c r="Q602" s="224"/>
      <c r="R602" s="182"/>
      <c r="S602" s="185"/>
      <c r="T602" s="695" t="s">
        <v>153</v>
      </c>
      <c r="U602" s="696"/>
    </row>
    <row r="603" spans="1:21" ht="41.25" customHeight="1" thickTop="1">
      <c r="A603" s="568"/>
      <c r="B603" s="208"/>
      <c r="C603" s="208"/>
      <c r="D603" s="208"/>
      <c r="E603" s="203">
        <f>ROUND((E601*E602),2)</f>
        <v>0</v>
      </c>
      <c r="F603" s="225"/>
      <c r="G603" s="226"/>
      <c r="H603" s="653" t="s">
        <v>309</v>
      </c>
      <c r="I603" s="655" t="s">
        <v>154</v>
      </c>
      <c r="J603" s="657" t="s">
        <v>155</v>
      </c>
      <c r="K603" s="660" t="s">
        <v>156</v>
      </c>
      <c r="L603" s="661" t="s">
        <v>157</v>
      </c>
      <c r="M603" s="661"/>
      <c r="N603" s="661"/>
      <c r="O603" s="662"/>
      <c r="P603" s="663" t="s">
        <v>158</v>
      </c>
      <c r="Q603" s="227" t="s">
        <v>159</v>
      </c>
      <c r="R603" s="228" t="s">
        <v>160</v>
      </c>
      <c r="S603" s="229" t="s">
        <v>161</v>
      </c>
      <c r="T603" s="695" t="s">
        <v>162</v>
      </c>
      <c r="U603" s="696"/>
    </row>
    <row r="604" spans="1:21" ht="92.25" customHeight="1">
      <c r="A604" s="568"/>
      <c r="B604" s="664" t="s">
        <v>163</v>
      </c>
      <c r="C604" s="117" t="s">
        <v>164</v>
      </c>
      <c r="D604" s="337" t="s">
        <v>165</v>
      </c>
      <c r="E604" s="146" t="s">
        <v>166</v>
      </c>
      <c r="F604" s="697" t="s">
        <v>167</v>
      </c>
      <c r="G604" s="191" t="s">
        <v>168</v>
      </c>
      <c r="H604" s="654"/>
      <c r="I604" s="656"/>
      <c r="J604" s="658"/>
      <c r="K604" s="584"/>
      <c r="L604" s="232" t="s">
        <v>169</v>
      </c>
      <c r="M604" s="123" t="s">
        <v>170</v>
      </c>
      <c r="N604" s="136" t="s">
        <v>171</v>
      </c>
      <c r="O604" s="136" t="s">
        <v>172</v>
      </c>
      <c r="P604" s="556"/>
      <c r="Q604" s="233">
        <f>ROUND(IF(S609&gt;$N$4,IF(S609&lt;=$O$4,7866.25+((S609-$N$4)*$O$3)),0)+IF(S609&gt;$O$4,20177.65+((S609-$O$4)*$P$3),0)+IF(S609&lt;=$N$4,IF(S609*E615&gt;0,S609*E615),0),0.1)</f>
        <v>0</v>
      </c>
      <c r="R604" s="234">
        <f>IF(L599&gt;0,ROUND((ROUND((L599),0.1)*E615),0.1),0)</f>
        <v>0</v>
      </c>
      <c r="S604" s="235">
        <f>IF(Q604+R604-D615&gt;=0,Q604+R604-D615,0)+IF(D615-Q604+R604&gt;0&lt;D615+0.001,Q604+R604-D615,0)</f>
        <v>0</v>
      </c>
      <c r="T604" s="695" t="s">
        <v>173</v>
      </c>
      <c r="U604" s="696"/>
    </row>
    <row r="605" spans="1:21" ht="36.75" customHeight="1">
      <c r="A605" s="568"/>
      <c r="B605" s="665"/>
      <c r="C605" s="230"/>
      <c r="D605" s="236"/>
      <c r="E605" s="237"/>
      <c r="F605" s="698"/>
      <c r="G605" s="239" t="s">
        <v>310</v>
      </c>
      <c r="H605" s="654"/>
      <c r="I605" s="656"/>
      <c r="J605" s="658"/>
      <c r="K605" s="584"/>
      <c r="L605" s="123"/>
      <c r="M605" s="240"/>
      <c r="N605" s="241"/>
      <c r="O605" s="136"/>
      <c r="P605" s="556"/>
      <c r="Q605" s="668" t="s">
        <v>174</v>
      </c>
      <c r="R605" s="669"/>
      <c r="S605" s="235">
        <f>ROUND(IF(S604&gt;=L615,S604-L615,0),0.1)</f>
        <v>0</v>
      </c>
      <c r="T605" s="338" t="str">
        <f>L$8</f>
        <v>styczeń</v>
      </c>
      <c r="U605" s="339" t="str">
        <f>N$8</f>
        <v>2011 r.</v>
      </c>
    </row>
    <row r="606" spans="1:21" ht="48" customHeight="1">
      <c r="A606" s="568"/>
      <c r="B606" s="244">
        <f>IF(B607=0,IF(T587&gt;0,IF(T592&gt;0,IF(T592="I kl",O$1)+IF(T592="II kl",P$1)+IF(T592="III kl",Q$1),ROUND((E$1*B615),2)),0),0)</f>
        <v>0</v>
      </c>
      <c r="C606" s="118" t="s">
        <v>175</v>
      </c>
      <c r="D606" s="123" t="s">
        <v>176</v>
      </c>
      <c r="E606" s="245"/>
      <c r="F606" s="698"/>
      <c r="G606" s="139"/>
      <c r="H606" s="246">
        <f>IF(H607&gt;0,1,0)</f>
        <v>0</v>
      </c>
      <c r="I606" s="247">
        <f>IF(I607&gt;0,1,0)</f>
        <v>0</v>
      </c>
      <c r="J606" s="658"/>
      <c r="K606" s="248">
        <f aca="true" t="shared" si="56" ref="K606:P606">IF(K607&gt;0,1,0)</f>
        <v>0</v>
      </c>
      <c r="L606" s="249">
        <f t="shared" si="56"/>
        <v>0</v>
      </c>
      <c r="M606" s="250">
        <f t="shared" si="56"/>
        <v>0</v>
      </c>
      <c r="N606" s="249">
        <f t="shared" si="56"/>
        <v>0</v>
      </c>
      <c r="O606" s="251">
        <f t="shared" si="56"/>
        <v>0</v>
      </c>
      <c r="P606" s="252">
        <f t="shared" si="56"/>
        <v>0</v>
      </c>
      <c r="Q606" s="670" t="s">
        <v>177</v>
      </c>
      <c r="R606" s="253" t="s">
        <v>178</v>
      </c>
      <c r="S606" s="235">
        <v>0</v>
      </c>
      <c r="T606" s="647" t="s">
        <v>179</v>
      </c>
      <c r="U606" s="648"/>
    </row>
    <row r="607" spans="1:21" ht="57.75" customHeight="1" thickBot="1">
      <c r="A607" s="568"/>
      <c r="B607" s="254"/>
      <c r="C607" s="230"/>
      <c r="D607" s="177">
        <v>0.9</v>
      </c>
      <c r="E607" s="255">
        <f>IF(E605&gt;0,$U$1-E606,0)</f>
        <v>0</v>
      </c>
      <c r="F607" s="238">
        <f>IF(F608&gt;0,1,0)</f>
        <v>0</v>
      </c>
      <c r="G607" s="256" t="s">
        <v>180</v>
      </c>
      <c r="H607" s="257">
        <f>P586+L599-P615</f>
        <v>0</v>
      </c>
      <c r="I607" s="233">
        <f>L586+K598</f>
        <v>0</v>
      </c>
      <c r="J607" s="659"/>
      <c r="K607" s="244">
        <f>S591+K597+L597+O597+R597+O610+L613-N607</f>
        <v>0</v>
      </c>
      <c r="L607" s="244"/>
      <c r="M607" s="244">
        <f>G596+IF(G598&gt;0,G598,0)</f>
        <v>0</v>
      </c>
      <c r="N607" s="244">
        <f>L613-L615</f>
        <v>0</v>
      </c>
      <c r="O607" s="244"/>
      <c r="P607" s="258">
        <f>SUM(K607:O607)</f>
        <v>0</v>
      </c>
      <c r="Q607" s="671"/>
      <c r="R607" s="259" t="s">
        <v>181</v>
      </c>
      <c r="S607" s="235">
        <v>0</v>
      </c>
      <c r="T607" s="647" t="s">
        <v>182</v>
      </c>
      <c r="U607" s="648"/>
    </row>
    <row r="608" spans="1:21" ht="45.75" customHeight="1" thickBot="1" thickTop="1">
      <c r="A608" s="569"/>
      <c r="B608" s="244">
        <f>IF(B607=0,ROUND(IF(B606&gt;0,CEILING((B606/G590),0.01),B607),2),B607)</f>
        <v>0</v>
      </c>
      <c r="C608" s="244">
        <f>IF(T587&gt;0,(IF(C605&gt;0,ROUND(((C605-(C605*(B611+C611+D611)))/30),2),0)+IF(C607&gt;0,ROUND((C607/30),2),0))+(IF(IF(C605&gt;0,ROUND(((C605-(C605*(B611+C611+D611)))/30),2),0)+IF(C607&gt;0,ROUND((C607/30),2),0)&lt;ROUND((($F$1*B615)/30),2),(IF(C605+C607&gt;0,ROUND((($F$1*B615)/30),2)-(IF(C605&gt;0,ROUND(((C605-(C605*(B611+C611+D611)))/30),2),0)+IF(C607&gt;0,ROUND((C607/30),2),0)))),0)),0)</f>
        <v>0</v>
      </c>
      <c r="D608" s="244"/>
      <c r="E608" s="244">
        <f>IF(E607&gt;0,IF(ROUND(E605-((E605/30)*E606),2)-H610+O610&gt;0,ROUND(E605-((E605/30)*E606),2)-H610+O610,0),0)</f>
        <v>0</v>
      </c>
      <c r="F608" s="137"/>
      <c r="G608" s="139"/>
      <c r="H608" s="672" t="s">
        <v>183</v>
      </c>
      <c r="I608" s="673"/>
      <c r="J608" s="673"/>
      <c r="K608" s="673"/>
      <c r="L608" s="673"/>
      <c r="M608" s="674" t="s">
        <v>184</v>
      </c>
      <c r="N608" s="675"/>
      <c r="O608" s="260" t="s">
        <v>185</v>
      </c>
      <c r="P608" s="261" t="s">
        <v>186</v>
      </c>
      <c r="Q608" s="676" t="s">
        <v>187</v>
      </c>
      <c r="R608" s="677"/>
      <c r="S608" s="262">
        <f>ROUND((IF(S605-S606&gt;=0,S605-S606,0)+S607),0.1)</f>
        <v>0</v>
      </c>
      <c r="T608" s="263" t="str">
        <f>L$8</f>
        <v>styczeń</v>
      </c>
      <c r="U608" s="264" t="str">
        <f>N$8</f>
        <v>2011 r.</v>
      </c>
    </row>
    <row r="609" spans="1:21" ht="69.75" customHeight="1" thickBot="1" thickTop="1">
      <c r="A609" s="568"/>
      <c r="B609" s="699" t="s">
        <v>188</v>
      </c>
      <c r="C609" s="700"/>
      <c r="D609" s="700"/>
      <c r="E609" s="701"/>
      <c r="F609" s="265" t="s">
        <v>189</v>
      </c>
      <c r="G609" s="266" t="s">
        <v>190</v>
      </c>
      <c r="H609" s="267" t="s">
        <v>191</v>
      </c>
      <c r="I609" s="268" t="s">
        <v>192</v>
      </c>
      <c r="J609" s="269" t="s">
        <v>193</v>
      </c>
      <c r="K609" s="238" t="s">
        <v>194</v>
      </c>
      <c r="L609" s="270" t="s">
        <v>195</v>
      </c>
      <c r="M609" s="198" t="s">
        <v>196</v>
      </c>
      <c r="N609" s="271" t="s">
        <v>197</v>
      </c>
      <c r="O609" s="294" t="s">
        <v>198</v>
      </c>
      <c r="P609" s="273" t="s">
        <v>199</v>
      </c>
      <c r="Q609" s="340" t="s">
        <v>200</v>
      </c>
      <c r="R609" s="275" t="s">
        <v>201</v>
      </c>
      <c r="S609" s="276">
        <f>IF(ROUND((P586-P615-C615),0.1)&gt;0,ROUND((P586-P615-C615),0.1),0)</f>
        <v>0</v>
      </c>
      <c r="T609" s="277"/>
      <c r="U609" s="278"/>
    </row>
    <row r="610" spans="1:21" ht="81" customHeight="1" thickTop="1">
      <c r="A610" s="568"/>
      <c r="B610" s="279" t="s">
        <v>202</v>
      </c>
      <c r="C610" s="279" t="s">
        <v>203</v>
      </c>
      <c r="D610" s="279" t="s">
        <v>204</v>
      </c>
      <c r="E610" s="279" t="s">
        <v>205</v>
      </c>
      <c r="F610" s="279" t="s">
        <v>206</v>
      </c>
      <c r="G610" s="280">
        <f>ROUND((H610*G612),2)</f>
        <v>0</v>
      </c>
      <c r="H610" s="281">
        <f>Q587+O597</f>
        <v>0</v>
      </c>
      <c r="I610" s="282">
        <f>Q587+O597</f>
        <v>0</v>
      </c>
      <c r="J610" s="282">
        <f>Q587+O597</f>
        <v>0</v>
      </c>
      <c r="K610" s="282">
        <f>Q587+O597</f>
        <v>0</v>
      </c>
      <c r="L610" s="283">
        <f>Q587+H597+I597-O610+O597</f>
        <v>0</v>
      </c>
      <c r="M610" s="284">
        <f>IF(D605&gt;0,IF(D605&lt;$U$1,ROUND((($E$1/$U$1)*D605),2),$E$1))+IF(K602&gt;0,K602,0)</f>
        <v>0</v>
      </c>
      <c r="N610" s="285">
        <f>M610</f>
        <v>0</v>
      </c>
      <c r="O610" s="286">
        <f>SUM(H613:J613)</f>
        <v>0</v>
      </c>
      <c r="P610" s="287">
        <f>IF(P611&gt;0,1,0)</f>
        <v>0</v>
      </c>
      <c r="Q610" s="288">
        <f>ROUND((H610-O597-P615+H597+I597)*$R$3,2)</f>
        <v>0</v>
      </c>
      <c r="R610" s="681" t="s">
        <v>207</v>
      </c>
      <c r="S610" s="683" t="s">
        <v>311</v>
      </c>
      <c r="T610" s="289"/>
      <c r="U610" s="278"/>
    </row>
    <row r="611" spans="1:21" ht="38.25" customHeight="1">
      <c r="A611" s="568"/>
      <c r="B611" s="158">
        <f>IF(H610&gt;0,B$2,0)</f>
        <v>0</v>
      </c>
      <c r="C611" s="158">
        <f>IF(I610&gt;0,H$4,0)</f>
        <v>0</v>
      </c>
      <c r="D611" s="158">
        <f>IF(J610&gt;0,F$2,0)</f>
        <v>0</v>
      </c>
      <c r="E611" s="158" t="s">
        <v>208</v>
      </c>
      <c r="F611" s="290" t="s">
        <v>209</v>
      </c>
      <c r="G611" s="291">
        <v>0</v>
      </c>
      <c r="H611" s="685" t="s">
        <v>210</v>
      </c>
      <c r="I611" s="686"/>
      <c r="J611" s="686"/>
      <c r="K611" s="686"/>
      <c r="L611" s="686"/>
      <c r="M611" s="292" t="s">
        <v>211</v>
      </c>
      <c r="N611" s="293" t="s">
        <v>212</v>
      </c>
      <c r="O611" s="294" t="s">
        <v>213</v>
      </c>
      <c r="P611" s="52">
        <f>IF(I610&lt;$E$1,IF(B615=1,IF(T592=0,ROUND((I610*$L$2),2),0),0),ROUND((I610*$L$2),2))</f>
        <v>0</v>
      </c>
      <c r="Q611" s="295" t="s">
        <v>214</v>
      </c>
      <c r="R611" s="682"/>
      <c r="S611" s="684"/>
      <c r="T611" s="289"/>
      <c r="U611" s="278"/>
    </row>
    <row r="612" spans="1:21" ht="42.75" customHeight="1" thickBot="1">
      <c r="A612" s="568"/>
      <c r="B612" s="158">
        <f>IF(H610&gt;0,B$2,0)</f>
        <v>0</v>
      </c>
      <c r="C612" s="158">
        <f>IF(I610&gt;0,D$2,0)</f>
        <v>0</v>
      </c>
      <c r="D612" s="158" t="s">
        <v>208</v>
      </c>
      <c r="E612" s="158">
        <f>IF(K610&gt;0,H$2,0)</f>
        <v>0</v>
      </c>
      <c r="F612" s="158">
        <f>IF(L610&gt;0,J$2,0)</f>
        <v>0</v>
      </c>
      <c r="G612" s="158">
        <f>IF(G611&gt;0,L$1,0)</f>
        <v>0</v>
      </c>
      <c r="H612" s="296" t="s">
        <v>215</v>
      </c>
      <c r="I612" s="297" t="s">
        <v>215</v>
      </c>
      <c r="J612" s="297" t="s">
        <v>215</v>
      </c>
      <c r="K612" s="298" t="s">
        <v>209</v>
      </c>
      <c r="L612" s="299" t="s">
        <v>215</v>
      </c>
      <c r="M612" s="300">
        <f>ROUND(M610*(B$2+B$2),2)</f>
        <v>0</v>
      </c>
      <c r="N612" s="301">
        <f>ROUND(N610*(D$2+H$4),2)</f>
        <v>0</v>
      </c>
      <c r="O612" s="302">
        <f>H615+I615+K615+G610</f>
        <v>0</v>
      </c>
      <c r="P612" s="303" t="s">
        <v>216</v>
      </c>
      <c r="Q612" s="304">
        <f>ROUND((L610*J$2),2)</f>
        <v>0</v>
      </c>
      <c r="R612" s="305" t="s">
        <v>217</v>
      </c>
      <c r="S612" s="684"/>
      <c r="T612" s="289"/>
      <c r="U612" s="278"/>
    </row>
    <row r="613" spans="1:21" ht="53.25" customHeight="1" thickBot="1" thickTop="1">
      <c r="A613" s="568"/>
      <c r="B613" s="141">
        <f>IF(B611+B612&gt;0,1,0)</f>
        <v>0</v>
      </c>
      <c r="C613" s="141">
        <f>IF(C611+C612&gt;0,1,0)</f>
        <v>0</v>
      </c>
      <c r="D613" s="141">
        <f>IF(D611&gt;0,1,0)</f>
        <v>0</v>
      </c>
      <c r="E613" s="141">
        <f>IF(E612&gt;0,1,0)</f>
        <v>0</v>
      </c>
      <c r="F613" s="141">
        <f>IF(F612&gt;0,1,0)</f>
        <v>0</v>
      </c>
      <c r="G613" s="141">
        <f>IF(G612&gt;0,1,0)</f>
        <v>0</v>
      </c>
      <c r="H613" s="306">
        <f>ROUND(H610*B611,2)</f>
        <v>0</v>
      </c>
      <c r="I613" s="307">
        <f>ROUND(I610*C611,2)</f>
        <v>0</v>
      </c>
      <c r="J613" s="307">
        <f>ROUND(J610*D611,2)</f>
        <v>0</v>
      </c>
      <c r="K613" s="244" t="s">
        <v>209</v>
      </c>
      <c r="L613" s="307">
        <f>IF(S604&gt;=ROUND(L610*F612,2),ROUND(L610*F612,2),S604)</f>
        <v>0</v>
      </c>
      <c r="M613" s="687" t="s">
        <v>218</v>
      </c>
      <c r="N613" s="688"/>
      <c r="O613" s="689" t="s">
        <v>219</v>
      </c>
      <c r="P613" s="308">
        <f>IF(P614&gt;0,1,0)</f>
        <v>0</v>
      </c>
      <c r="Q613" s="309" t="s">
        <v>220</v>
      </c>
      <c r="R613" s="310">
        <f>IF(B590=G590,H591+I591+J591+L591+O591+R591+IF(K591&gt;0,ROUND((K591/K589),2),0),0)+IF(B590&lt;G590,IF(B590&gt;0,ROUND((((H591+J591)/B590)*(G590-B603)),2)+IF(K591&gt;0,ROUND((K591/K589),2),0)+I591+L591+O591+R591,0),0)</f>
        <v>0</v>
      </c>
      <c r="S613" s="235">
        <f>IF(S605-S606&lt;0,S606-S605,0)</f>
        <v>0</v>
      </c>
      <c r="T613" s="289"/>
      <c r="U613" s="278"/>
    </row>
    <row r="614" spans="1:22" ht="63" customHeight="1" thickBot="1" thickTop="1">
      <c r="A614" s="568"/>
      <c r="B614" s="311" t="s">
        <v>221</v>
      </c>
      <c r="C614" s="311" t="s">
        <v>222</v>
      </c>
      <c r="D614" s="311" t="s">
        <v>34</v>
      </c>
      <c r="E614" s="146" t="s">
        <v>223</v>
      </c>
      <c r="F614" s="312" t="s">
        <v>224</v>
      </c>
      <c r="G614" s="139">
        <f>IF(Q610&gt;Q604,Q610-Q604,0)</f>
        <v>0</v>
      </c>
      <c r="H614" s="313" t="s">
        <v>225</v>
      </c>
      <c r="I614" s="314" t="s">
        <v>225</v>
      </c>
      <c r="J614" s="298" t="s">
        <v>209</v>
      </c>
      <c r="K614" s="315" t="s">
        <v>225</v>
      </c>
      <c r="L614" s="316" t="s">
        <v>226</v>
      </c>
      <c r="M614" s="317" t="s">
        <v>227</v>
      </c>
      <c r="N614" s="318" t="s">
        <v>228</v>
      </c>
      <c r="O614" s="690"/>
      <c r="P614" s="319">
        <f>ROUND(N$2*H610,2)</f>
        <v>0</v>
      </c>
      <c r="Q614" s="320">
        <f>IF(D605&gt;0,$U$2,0)</f>
        <v>0</v>
      </c>
      <c r="R614" s="321" t="s">
        <v>229</v>
      </c>
      <c r="S614" s="322" t="s">
        <v>230</v>
      </c>
      <c r="T614" s="691" t="s">
        <v>231</v>
      </c>
      <c r="U614" s="702"/>
      <c r="V614" s="323">
        <f>IF(ISBLANK(AM586),0,IF(IF(AF601&gt;=AI$2,AI$2,AF601)&gt;0,IF(AF601&gt;=AI$2,AI$2,AF601),0))</f>
        <v>0</v>
      </c>
    </row>
    <row r="615" spans="1:22" ht="42" customHeight="1" thickBot="1" thickTop="1">
      <c r="A615" s="570"/>
      <c r="B615" s="324">
        <f>IF(ISBLANK(T587),0,1)</f>
        <v>0</v>
      </c>
      <c r="C615" s="324">
        <f>IF(ISBLANK(T587),0,IF(IF(M602&gt;=P$2,P$2,M602)&gt;0,IF(M602&gt;=P$2,P$2,M602),0))</f>
        <v>0</v>
      </c>
      <c r="D615" s="324">
        <f>IF(ISBLANK(T587),0,S$1)</f>
        <v>0</v>
      </c>
      <c r="E615" s="325">
        <f>IF(G590&gt;0,$N$3,0)</f>
        <v>0</v>
      </c>
      <c r="F615" s="326">
        <f>O610+O612+P611+P614+L613+S608</f>
        <v>0</v>
      </c>
      <c r="G615" s="327">
        <f>IF(G614&gt;0,1,0)</f>
        <v>0</v>
      </c>
      <c r="H615" s="328">
        <f>ROUND(H610*B611,2)</f>
        <v>0</v>
      </c>
      <c r="I615" s="329">
        <f>ROUND(I610*C612,2)</f>
        <v>0</v>
      </c>
      <c r="J615" s="182" t="s">
        <v>209</v>
      </c>
      <c r="K615" s="330">
        <f>ROUND(K610*E612,2)</f>
        <v>0</v>
      </c>
      <c r="L615" s="185">
        <f>IF(S604&gt;=ROUND((H610-O597-P615+H597+I597)*$R$3,2),ROUND((H610-O597-P615+H597+I597)*$R$3,2),S604)</f>
        <v>0</v>
      </c>
      <c r="M615" s="179">
        <f>O610+O612</f>
        <v>0</v>
      </c>
      <c r="N615" s="331">
        <f>M615+L613</f>
        <v>0</v>
      </c>
      <c r="O615" s="332">
        <f>SUM(M612:N612)</f>
        <v>0</v>
      </c>
      <c r="P615" s="333">
        <f>ROUND(Q587*B611,2)+ROUND(Q587*C611,2)+ROUND(Q587*D611,2)</f>
        <v>0</v>
      </c>
      <c r="Q615" s="334">
        <f>IF(D605&gt;0,ROUND(($U$2*J$2),2),0)</f>
        <v>0</v>
      </c>
      <c r="R615" s="335">
        <f>IF(B590&gt;=G590/2,IF(B590=G590,H591+I591+J591+L591+O591+P591+R591+IF(K591&gt;0,ROUND((K591/K589),2),0),ROUND((((H591+J591+L591)/B590)*(G590-B603)),2)+IF(K591&gt;0,ROUND((K591/K589),2),0)+I591+O591+P591+R591),0)</f>
        <v>0</v>
      </c>
      <c r="S615" s="336">
        <f>IF(P586-O610-S608-L613&gt;0,P586-O610-S608-L613,0)</f>
        <v>0</v>
      </c>
      <c r="T615" s="693" t="s">
        <v>232</v>
      </c>
      <c r="U615" s="703"/>
      <c r="V615" s="323">
        <f>IF(ISBLANK(AM587),0,IF(IF(AF602&gt;=AJ$2,AJ$2,AF602)&gt;0,IF(AF602&gt;=AJ$2,AJ$2,AF602),0))</f>
        <v>0</v>
      </c>
    </row>
    <row r="616" ht="24" customHeight="1" thickTop="1"/>
    <row r="617" spans="1:23" ht="33" customHeight="1" thickBot="1">
      <c r="A617" s="111" t="s">
        <v>72</v>
      </c>
      <c r="B617" s="112" t="s">
        <v>73</v>
      </c>
      <c r="C617" s="113"/>
      <c r="D617" s="113"/>
      <c r="E617" s="114"/>
      <c r="F617" s="553" t="s">
        <v>74</v>
      </c>
      <c r="G617" s="555" t="s">
        <v>75</v>
      </c>
      <c r="H617" s="557" t="s">
        <v>76</v>
      </c>
      <c r="I617" s="557"/>
      <c r="J617" s="558"/>
      <c r="K617" s="559"/>
      <c r="L617" s="560"/>
      <c r="M617" s="560"/>
      <c r="N617" s="560"/>
      <c r="O617" s="561"/>
      <c r="P617" s="559"/>
      <c r="Q617" s="560"/>
      <c r="R617" s="560"/>
      <c r="S617" s="560"/>
      <c r="T617" s="565" t="s">
        <v>77</v>
      </c>
      <c r="U617" s="566"/>
      <c r="V617" s="102"/>
      <c r="W617" s="115"/>
    </row>
    <row r="618" spans="1:23" ht="44.25" customHeight="1" thickBot="1" thickTop="1">
      <c r="A618" s="567">
        <f>A586+1</f>
        <v>20</v>
      </c>
      <c r="B618" s="571" t="s">
        <v>79</v>
      </c>
      <c r="C618" s="571" t="s">
        <v>80</v>
      </c>
      <c r="D618" s="573" t="s">
        <v>81</v>
      </c>
      <c r="E618" s="573"/>
      <c r="F618" s="554"/>
      <c r="G618" s="556"/>
      <c r="H618" s="574" t="s">
        <v>82</v>
      </c>
      <c r="I618" s="574"/>
      <c r="J618" s="574"/>
      <c r="K618" s="574"/>
      <c r="L618" s="575">
        <f>P618+S624</f>
        <v>0</v>
      </c>
      <c r="M618" s="576"/>
      <c r="N618" s="577" t="s">
        <v>83</v>
      </c>
      <c r="O618" s="578"/>
      <c r="P618" s="575">
        <f>Q619+M624</f>
        <v>0</v>
      </c>
      <c r="Q618" s="576"/>
      <c r="R618" s="119"/>
      <c r="S618" s="120"/>
      <c r="T618" s="121"/>
      <c r="U618" s="122"/>
      <c r="V618" s="102"/>
      <c r="W618" s="115"/>
    </row>
    <row r="619" spans="1:23" ht="36.75" customHeight="1">
      <c r="A619" s="568"/>
      <c r="B619" s="572"/>
      <c r="C619" s="572"/>
      <c r="D619" s="124" t="s">
        <v>85</v>
      </c>
      <c r="E619" s="124" t="s">
        <v>86</v>
      </c>
      <c r="F619" s="554"/>
      <c r="G619" s="556"/>
      <c r="H619" s="562" t="s">
        <v>87</v>
      </c>
      <c r="I619" s="563"/>
      <c r="J619" s="563"/>
      <c r="K619" s="563"/>
      <c r="L619" s="563"/>
      <c r="M619" s="563"/>
      <c r="N619" s="563"/>
      <c r="O619" s="563"/>
      <c r="P619" s="564"/>
      <c r="Q619" s="579">
        <f>SUM(H623:S623)</f>
        <v>0</v>
      </c>
      <c r="R619" s="580"/>
      <c r="S619" s="125"/>
      <c r="T619" s="581"/>
      <c r="U619" s="582"/>
      <c r="V619" s="102"/>
      <c r="W619" s="115"/>
    </row>
    <row r="620" spans="1:23" ht="38.25" customHeight="1">
      <c r="A620" s="568"/>
      <c r="B620" s="572"/>
      <c r="C620" s="126"/>
      <c r="D620" s="124" t="s">
        <v>89</v>
      </c>
      <c r="E620" s="124" t="s">
        <v>89</v>
      </c>
      <c r="F620" s="554"/>
      <c r="G620" s="127"/>
      <c r="H620" s="128" t="s">
        <v>90</v>
      </c>
      <c r="I620" s="129" t="s">
        <v>91</v>
      </c>
      <c r="J620" s="129" t="s">
        <v>92</v>
      </c>
      <c r="K620" s="130" t="s">
        <v>93</v>
      </c>
      <c r="L620" s="583" t="s">
        <v>94</v>
      </c>
      <c r="M620" s="583" t="s">
        <v>95</v>
      </c>
      <c r="N620" s="583" t="s">
        <v>96</v>
      </c>
      <c r="O620" s="585" t="s">
        <v>97</v>
      </c>
      <c r="P620" s="583" t="s">
        <v>98</v>
      </c>
      <c r="Q620" s="587" t="s">
        <v>99</v>
      </c>
      <c r="R620" s="589" t="s">
        <v>100</v>
      </c>
      <c r="S620" s="591" t="s">
        <v>101</v>
      </c>
      <c r="T620" s="581"/>
      <c r="U620" s="582"/>
      <c r="V620" s="102"/>
      <c r="W620" s="115"/>
    </row>
    <row r="621" spans="1:23" ht="30" customHeight="1">
      <c r="A621" s="568"/>
      <c r="B621" s="572"/>
      <c r="C621" s="131"/>
      <c r="D621" s="131"/>
      <c r="E621" s="131"/>
      <c r="F621" s="554"/>
      <c r="G621" s="127"/>
      <c r="H621" s="132" t="s">
        <v>103</v>
      </c>
      <c r="I621" s="133" t="s">
        <v>104</v>
      </c>
      <c r="J621" s="134">
        <v>0</v>
      </c>
      <c r="K621" s="135">
        <v>1</v>
      </c>
      <c r="L621" s="584"/>
      <c r="M621" s="584"/>
      <c r="N621" s="584"/>
      <c r="O621" s="586"/>
      <c r="P621" s="584"/>
      <c r="Q621" s="588"/>
      <c r="R621" s="590"/>
      <c r="S621" s="592"/>
      <c r="T621" s="581"/>
      <c r="U621" s="582"/>
      <c r="V621" s="102"/>
      <c r="W621" s="115"/>
    </row>
    <row r="622" spans="1:21" ht="51" customHeight="1">
      <c r="A622" s="568"/>
      <c r="B622" s="137">
        <f>G622</f>
        <v>0</v>
      </c>
      <c r="C622" s="137"/>
      <c r="D622" s="137"/>
      <c r="E622" s="138"/>
      <c r="F622" s="138"/>
      <c r="G622" s="139">
        <f>B$1*B647</f>
        <v>0</v>
      </c>
      <c r="H622" s="140">
        <f aca="true" t="shared" si="57" ref="H622:S622">IF(H623&gt;0,1,0)</f>
        <v>0</v>
      </c>
      <c r="I622" s="141">
        <f t="shared" si="57"/>
        <v>0</v>
      </c>
      <c r="J622" s="141">
        <f t="shared" si="57"/>
        <v>0</v>
      </c>
      <c r="K622" s="142">
        <f t="shared" si="57"/>
        <v>0</v>
      </c>
      <c r="L622" s="142">
        <f t="shared" si="57"/>
        <v>0</v>
      </c>
      <c r="M622" s="142">
        <f t="shared" si="57"/>
        <v>0</v>
      </c>
      <c r="N622" s="142">
        <f t="shared" si="57"/>
        <v>0</v>
      </c>
      <c r="O622" s="141">
        <f t="shared" si="57"/>
        <v>0</v>
      </c>
      <c r="P622" s="142">
        <f t="shared" si="57"/>
        <v>0</v>
      </c>
      <c r="Q622" s="142">
        <f t="shared" si="57"/>
        <v>0</v>
      </c>
      <c r="R622" s="143">
        <f t="shared" si="57"/>
        <v>0</v>
      </c>
      <c r="S622" s="144">
        <f t="shared" si="57"/>
        <v>0</v>
      </c>
      <c r="T622" s="593"/>
      <c r="U622" s="594"/>
    </row>
    <row r="623" spans="1:22" ht="49.5" customHeight="1" thickBot="1">
      <c r="A623" s="568"/>
      <c r="B623" s="595" t="s">
        <v>106</v>
      </c>
      <c r="C623" s="595" t="s">
        <v>107</v>
      </c>
      <c r="D623" s="596" t="s">
        <v>108</v>
      </c>
      <c r="E623" s="148" t="s">
        <v>109</v>
      </c>
      <c r="F623" s="149"/>
      <c r="G623" s="597" t="s">
        <v>110</v>
      </c>
      <c r="H623" s="150">
        <f>IF(B622+B626+B633+B635+C632+D626+F623&gt;0,IF(B638&gt;0,B638-(IF(E626+F626+G626+B630+C630+D630+E630+F630&gt;0,ROUND((B638/30)*IF(E626+F626+G626+B630+C630+D630+E630+F630&lt;31,E626+F626+G626+B630+C630+D630+E630+F630,30),2),0)+ROUND(((B638/G622)*(B626+B633+B635+C632+D626)),2)),0),0)+IF(B622&gt;G622,IF(B638&gt;0,(B622-G622)*B640,0),0)+IF(B639&gt;0,B639*B622,0)-IF(IF(B622+B626+B633+B635+C632+D626+F623&gt;0,IF(B638&gt;0,B638-(IF(E626+F626+G626+B630+C630+D630+E630+F630&gt;0,ROUND((B638/30)*IF(E626+F626+G626+B630+C630+D630+E630+F630&lt;31,E626+F626+G626+B630+C630+D630+E630+F630,30),2),0)+ROUND(((B638/G622)*(B626+B633+B635+C632+D626)),2)),0),0)&lt;0,IF(B622+B626+B633+B635+C632+D626+F623&gt;0,IF(B638&gt;0,B638-(IF(E626+F626+G626+B630+C630+D630+E630+F630&gt;0,ROUND((B638/30)*IF(E626+F626+G626+B630+C630+D630+E630+F630&lt;31,E626+F626+G626+B630+C630+D630+E630+F630,30),2),0)+ROUND(((B638/G622)*(B626+B633+B635+C632+D626)),2)),0),0),0)</f>
        <v>0</v>
      </c>
      <c r="I623" s="151">
        <f>ROUND(D622*ROUND(B640*150%,2)+E622*ROUND(B640*200%,2),2)</f>
        <v>0</v>
      </c>
      <c r="J623" s="151">
        <f>ROUND((J621*H623),2)</f>
        <v>0</v>
      </c>
      <c r="K623" s="151"/>
      <c r="L623" s="151">
        <f>IF(C622&gt;0,C622*ROUND(B640*U$3,2),0)+IF(U$3=0,IF(C622&gt;0,C622*ROUND(20%*ROUND(E$1/G622,2),2),0))</f>
        <v>0</v>
      </c>
      <c r="M623" s="151">
        <f>IF(B626&gt;0,ROUND((B626*C635),2),0)</f>
        <v>0</v>
      </c>
      <c r="N623" s="151">
        <f>IF(B622+D622+E622+F622&gt;0,ROUND((((H623+I623+J623+L623+O623)/(B622+D622+E622+F622))*D626),2),B640*D626)</f>
        <v>0</v>
      </c>
      <c r="O623" s="151">
        <f>ROUND((F622*B640),2)</f>
        <v>0</v>
      </c>
      <c r="P623" s="151">
        <f>IF(C626&gt;0,ROUND((D635/($I$1*8*B647)),2)*C626,0)</f>
        <v>0</v>
      </c>
      <c r="Q623" s="151"/>
      <c r="R623" s="152"/>
      <c r="S623" s="153">
        <f>IF(G640&gt;500,G640-500,0)+IF(F640&gt;190,F640-190,0)</f>
        <v>0</v>
      </c>
      <c r="T623" s="593"/>
      <c r="U623" s="594"/>
      <c r="V623" s="154"/>
    </row>
    <row r="624" spans="1:21" ht="57" customHeight="1">
      <c r="A624" s="568"/>
      <c r="B624" s="554"/>
      <c r="C624" s="554"/>
      <c r="D624" s="554"/>
      <c r="E624" s="599" t="s">
        <v>112</v>
      </c>
      <c r="F624" s="599"/>
      <c r="G624" s="598"/>
      <c r="H624" s="600" t="s">
        <v>113</v>
      </c>
      <c r="I624" s="601"/>
      <c r="J624" s="601"/>
      <c r="K624" s="601"/>
      <c r="L624" s="601"/>
      <c r="M624" s="602">
        <f>H629+I629+M625</f>
        <v>0</v>
      </c>
      <c r="N624" s="603"/>
      <c r="O624" s="604" t="s">
        <v>114</v>
      </c>
      <c r="P624" s="604"/>
      <c r="Q624" s="604"/>
      <c r="R624" s="604"/>
      <c r="S624" s="156">
        <f>S625+O629</f>
        <v>0</v>
      </c>
      <c r="T624" s="605"/>
      <c r="U624" s="606"/>
    </row>
    <row r="625" spans="1:21" ht="38.25" customHeight="1">
      <c r="A625" s="568"/>
      <c r="B625" s="157"/>
      <c r="C625" s="131"/>
      <c r="D625" s="131"/>
      <c r="E625" s="158">
        <v>0.8</v>
      </c>
      <c r="F625" s="158">
        <v>1</v>
      </c>
      <c r="G625" s="159">
        <v>0.8</v>
      </c>
      <c r="H625" s="607" t="s">
        <v>115</v>
      </c>
      <c r="I625" s="608"/>
      <c r="J625" s="609" t="s">
        <v>116</v>
      </c>
      <c r="K625" s="610"/>
      <c r="L625" s="610"/>
      <c r="M625" s="611">
        <f>SUM(J629:N629)</f>
        <v>0</v>
      </c>
      <c r="N625" s="612"/>
      <c r="O625" s="160" t="s">
        <v>117</v>
      </c>
      <c r="P625" s="613" t="s">
        <v>118</v>
      </c>
      <c r="Q625" s="614"/>
      <c r="R625" s="615"/>
      <c r="S625" s="161">
        <f>SUM(P629:S629)</f>
        <v>0</v>
      </c>
      <c r="T625" s="616"/>
      <c r="U625" s="617"/>
    </row>
    <row r="626" spans="1:21" ht="40.5" customHeight="1">
      <c r="A626" s="568"/>
      <c r="B626" s="137"/>
      <c r="C626" s="137"/>
      <c r="D626" s="137"/>
      <c r="E626" s="137"/>
      <c r="F626" s="137"/>
      <c r="G626" s="139"/>
      <c r="H626" s="618" t="s">
        <v>119</v>
      </c>
      <c r="I626" s="162"/>
      <c r="J626" s="620" t="s">
        <v>120</v>
      </c>
      <c r="K626" s="595" t="s">
        <v>121</v>
      </c>
      <c r="L626" s="595" t="s">
        <v>122</v>
      </c>
      <c r="M626" s="595" t="s">
        <v>123</v>
      </c>
      <c r="N626" s="163" t="s">
        <v>124</v>
      </c>
      <c r="O626" s="622" t="s">
        <v>125</v>
      </c>
      <c r="P626" s="624" t="s">
        <v>126</v>
      </c>
      <c r="Q626" s="584" t="s">
        <v>127</v>
      </c>
      <c r="R626" s="634" t="s">
        <v>128</v>
      </c>
      <c r="S626" s="633" t="s">
        <v>129</v>
      </c>
      <c r="T626" s="164"/>
      <c r="U626" s="165"/>
    </row>
    <row r="627" spans="1:21" ht="39.75" customHeight="1">
      <c r="A627" s="568"/>
      <c r="B627" s="571" t="s">
        <v>110</v>
      </c>
      <c r="C627" s="571" t="s">
        <v>130</v>
      </c>
      <c r="D627" s="571" t="s">
        <v>131</v>
      </c>
      <c r="E627" s="571" t="s">
        <v>132</v>
      </c>
      <c r="F627" s="571" t="s">
        <v>110</v>
      </c>
      <c r="G627" s="166" t="s">
        <v>133</v>
      </c>
      <c r="H627" s="619"/>
      <c r="I627" s="167"/>
      <c r="J627" s="621"/>
      <c r="K627" s="554"/>
      <c r="L627" s="554"/>
      <c r="M627" s="554"/>
      <c r="N627" s="168" t="s">
        <v>134</v>
      </c>
      <c r="O627" s="623"/>
      <c r="P627" s="624"/>
      <c r="Q627" s="584"/>
      <c r="R627" s="634"/>
      <c r="S627" s="633"/>
      <c r="T627" s="627">
        <f>I639-S640-P639</f>
        <v>0</v>
      </c>
      <c r="U627" s="628"/>
    </row>
    <row r="628" spans="1:21" ht="35.25" customHeight="1">
      <c r="A628" s="568"/>
      <c r="B628" s="572"/>
      <c r="C628" s="572"/>
      <c r="D628" s="572"/>
      <c r="E628" s="572"/>
      <c r="F628" s="572"/>
      <c r="G628" s="139"/>
      <c r="H628" s="169">
        <f aca="true" t="shared" si="58" ref="H628:M628">IF(H629&gt;0,1,0)</f>
        <v>0</v>
      </c>
      <c r="I628" s="170">
        <f t="shared" si="58"/>
        <v>0</v>
      </c>
      <c r="J628" s="171">
        <f t="shared" si="58"/>
        <v>0</v>
      </c>
      <c r="K628" s="172">
        <f t="shared" si="58"/>
        <v>0</v>
      </c>
      <c r="L628" s="173">
        <f t="shared" si="58"/>
        <v>0</v>
      </c>
      <c r="M628" s="173">
        <f t="shared" si="58"/>
        <v>0</v>
      </c>
      <c r="N628" s="174">
        <v>0</v>
      </c>
      <c r="O628" s="175">
        <f>IF(O629&gt;0,1,0)</f>
        <v>0</v>
      </c>
      <c r="P628" s="171">
        <f>IF(P629&gt;0,1,0)</f>
        <v>0</v>
      </c>
      <c r="Q628" s="173">
        <f>IF(Q629&gt;0,1,0)</f>
        <v>0</v>
      </c>
      <c r="R628" s="173">
        <f>IF(R629&gt;0,1,0)</f>
        <v>0</v>
      </c>
      <c r="S628" s="176">
        <f>IF(S629&gt;0,1,0)</f>
        <v>0</v>
      </c>
      <c r="T628" s="627"/>
      <c r="U628" s="628"/>
    </row>
    <row r="629" spans="1:21" ht="36" customHeight="1" thickBot="1">
      <c r="A629" s="568"/>
      <c r="B629" s="177">
        <v>1</v>
      </c>
      <c r="C629" s="177">
        <v>0.8</v>
      </c>
      <c r="D629" s="572"/>
      <c r="E629" s="572"/>
      <c r="F629" s="177">
        <v>0.7</v>
      </c>
      <c r="G629" s="178">
        <v>0</v>
      </c>
      <c r="H629" s="179">
        <f>IF(E626&gt;0,ROUND((C640*E625),2)*E626,0)+IF(F626&gt;0,C640*F626,0)</f>
        <v>0</v>
      </c>
      <c r="I629" s="180"/>
      <c r="J629" s="181">
        <f>IF(G622&gt;0,IF(B622&gt;=G622,E635-((E635/22)*F635),(E635-(ROUND(((E635/22)*(((G622-B622)/8*B647)+F635)),2))))-IF(B622=0,0,0)-IF(B622&lt;=F635*8*B647,E635-ROUND(((E635/22)*(((G622-B622)/8*B647)+F635)),2),0),0)</f>
        <v>0</v>
      </c>
      <c r="K629" s="182">
        <f>G638-R629</f>
        <v>0</v>
      </c>
      <c r="L629" s="182">
        <f>IF(F640&gt;0,IF(F640&lt;190,F640,190),0)</f>
        <v>0</v>
      </c>
      <c r="M629" s="182"/>
      <c r="N629" s="183">
        <f>IF(N628&gt;0,L$3*B647*N628,0)</f>
        <v>0</v>
      </c>
      <c r="O629" s="184">
        <f>IF(C647&lt;=$P$2,IF(G640&gt;0,IF(G640&lt;500,G640,500),0),0)</f>
        <v>0</v>
      </c>
      <c r="P629" s="181">
        <f>IF(G635&gt;0,ROUND(((G635/G622)*B622),2),0)+G634</f>
        <v>0</v>
      </c>
      <c r="Q629" s="182">
        <f>IF(F633&gt;0,ROUND((F633/G622)*B622,2),0)</f>
        <v>0</v>
      </c>
      <c r="R629" s="182">
        <f>IF(G638&gt;0,IF(G638&lt;380,G638,380),0)</f>
        <v>0</v>
      </c>
      <c r="S629" s="185"/>
      <c r="T629" s="627"/>
      <c r="U629" s="628"/>
    </row>
    <row r="630" spans="1:21" ht="60" customHeight="1" thickBot="1" thickTop="1">
      <c r="A630" s="568"/>
      <c r="B630" s="137"/>
      <c r="C630" s="137"/>
      <c r="D630" s="137"/>
      <c r="E630" s="137"/>
      <c r="F630" s="137"/>
      <c r="G630" s="139">
        <f>IF(L618+L631-Q629-P629-K639-J629&gt;$F$1,IF(G629&gt;0,IF(((H639-S640-L645-L639-J629-K629-L629-O642+P647)*(100%-G629))&gt;=(($F$1*B647)-IF(ROUND(((ROUND(($F$1-C647),0.1)*E647)-D647),0.1)&gt;0,ROUND(((ROUND(($F$1-C647),0.1)*E647)-D647),0.1),0)),((H639-S640-L645-L639-J629-K629-L629-O642+P647)*G629)))+IF(G629&gt;0,IF(((H639-S640-L645-L639-J629-K629-L629-O642+P647)*(100%-G629))&lt;(($F$1*B647)-IF(ROUND(((ROUND(($F$1-C647),0.1)*E647)-D647),0.1)&gt;0,ROUND(((ROUND(($F$1-C647),0.1)*E647)-D647),0.1),0)),(H639-S640-L645-L639-J629-K629-L629-O642+P647)-(($F$1*B647)-IF(ROUND(((ROUND(($F$1-C647),0.1)*E647)-D647),0.1)&gt;0,ROUND(((ROUND(($F$1-C647),0.1)*E647)-D647),0.1),0)))),0)</f>
        <v>0</v>
      </c>
      <c r="H630" s="629" t="s">
        <v>135</v>
      </c>
      <c r="I630" s="630"/>
      <c r="J630" s="630"/>
      <c r="K630" s="575">
        <f>L631+P630</f>
        <v>0</v>
      </c>
      <c r="L630" s="576"/>
      <c r="M630" s="631" t="s">
        <v>136</v>
      </c>
      <c r="N630" s="632"/>
      <c r="O630" s="632"/>
      <c r="P630" s="575">
        <f>P631+S631</f>
        <v>0</v>
      </c>
      <c r="Q630" s="575"/>
      <c r="R630" s="186"/>
      <c r="S630" s="186"/>
      <c r="T630" s="187">
        <v>200</v>
      </c>
      <c r="U630" s="188">
        <f>ROUND(((1400/'[1]Li-pł zlec'!$V$1)*'[1]LI-PŁ-prac'!T630),2)+((H629+L631)-ROUND(((H629+L631)*$N$3),2))+O632+P632+P634+R634+S634-O639-L639-M639</f>
        <v>1750</v>
      </c>
    </row>
    <row r="631" spans="1:21" ht="119.25" customHeight="1">
      <c r="A631" s="568"/>
      <c r="B631" s="189" t="s">
        <v>137</v>
      </c>
      <c r="C631" s="190" t="s">
        <v>138</v>
      </c>
      <c r="D631" s="595" t="s">
        <v>139</v>
      </c>
      <c r="E631" s="649" t="s">
        <v>307</v>
      </c>
      <c r="F631" s="191" t="s">
        <v>140</v>
      </c>
      <c r="G631" s="192" t="s">
        <v>141</v>
      </c>
      <c r="H631" s="651" t="s">
        <v>142</v>
      </c>
      <c r="I631" s="652"/>
      <c r="J631" s="652"/>
      <c r="K631" s="652"/>
      <c r="L631" s="193">
        <f>SUM(H634:L634)</f>
        <v>0</v>
      </c>
      <c r="M631" s="625"/>
      <c r="N631" s="626"/>
      <c r="O631" s="626"/>
      <c r="P631" s="193"/>
      <c r="Q631" s="635"/>
      <c r="R631" s="636"/>
      <c r="S631" s="194"/>
      <c r="T631" s="637"/>
      <c r="U631" s="638"/>
    </row>
    <row r="632" spans="1:21" ht="141" customHeight="1" thickBot="1">
      <c r="A632" s="568"/>
      <c r="B632" s="195" t="s">
        <v>143</v>
      </c>
      <c r="C632" s="196"/>
      <c r="D632" s="554"/>
      <c r="E632" s="650"/>
      <c r="F632" s="197">
        <f>IF(F633&gt;0,1,0)</f>
        <v>0</v>
      </c>
      <c r="G632" s="155" t="s">
        <v>308</v>
      </c>
      <c r="H632" s="198" t="s">
        <v>144</v>
      </c>
      <c r="I632" s="199" t="s">
        <v>145</v>
      </c>
      <c r="J632" s="199" t="s">
        <v>146</v>
      </c>
      <c r="K632" s="199" t="s">
        <v>147</v>
      </c>
      <c r="L632" s="200" t="s">
        <v>148</v>
      </c>
      <c r="M632" s="201"/>
      <c r="N632" s="202"/>
      <c r="O632" s="203"/>
      <c r="P632" s="204"/>
      <c r="Q632" s="205"/>
      <c r="R632" s="206"/>
      <c r="S632" s="207"/>
      <c r="T632" s="637"/>
      <c r="U632" s="638"/>
    </row>
    <row r="633" spans="1:21" ht="51.75" customHeight="1">
      <c r="A633" s="568"/>
      <c r="B633" s="208"/>
      <c r="C633" s="595" t="s">
        <v>149</v>
      </c>
      <c r="D633" s="554"/>
      <c r="E633" s="209"/>
      <c r="F633" s="210">
        <f>IF(T619&gt;0,$H$3,0)</f>
        <v>0</v>
      </c>
      <c r="G633" s="211">
        <f>IF(G634+G635&gt;0,1,0)</f>
        <v>0</v>
      </c>
      <c r="H633" s="212">
        <f>IF(H634&gt;0,1,0)</f>
        <v>0</v>
      </c>
      <c r="I633" s="213">
        <f>IF(I634&gt;0,1,0)</f>
        <v>0</v>
      </c>
      <c r="J633" s="213">
        <f>IF(J634&gt;0,1,0)</f>
        <v>0</v>
      </c>
      <c r="K633" s="213">
        <f>IF(K634&gt;0,1,0)</f>
        <v>0</v>
      </c>
      <c r="L633" s="214">
        <f>IF(L634&gt;0,1,0)</f>
        <v>0</v>
      </c>
      <c r="M633" s="639" t="s">
        <v>150</v>
      </c>
      <c r="N633" s="640"/>
      <c r="O633" s="641"/>
      <c r="P633" s="642"/>
      <c r="Q633" s="215"/>
      <c r="R633" s="216"/>
      <c r="S633" s="217"/>
      <c r="T633" s="643"/>
      <c r="U633" s="644"/>
    </row>
    <row r="634" spans="1:21" ht="60.75" customHeight="1" thickBot="1">
      <c r="A634" s="568"/>
      <c r="B634" s="218" t="s">
        <v>151</v>
      </c>
      <c r="C634" s="554"/>
      <c r="D634" s="131"/>
      <c r="E634" s="219">
        <f>IF(E633&gt;0,C$3,0)</f>
        <v>0</v>
      </c>
      <c r="F634" s="220" t="s">
        <v>152</v>
      </c>
      <c r="G634" s="221"/>
      <c r="H634" s="179">
        <f>IF(G626&gt;0,(ROUND((C640*G625),2)*G626),0)+IF(B630&gt;0,(ROUND((C640*B629),2)*B630),0)+IF(F630&gt;0,(ROUND((C640*F629),2)*F630),0)</f>
        <v>0</v>
      </c>
      <c r="I634" s="182">
        <f>IF(E630&gt;0,(ROUND(((D640*D639)/30),2)*E630),0)</f>
        <v>0</v>
      </c>
      <c r="J634" s="182">
        <f>IF(C630&gt;0,(ROUND(C640*C629,2)*C630),0)</f>
        <v>0</v>
      </c>
      <c r="K634" s="182">
        <f>IF(D630&gt;0,(ROUND(C640,2)*D630),0)</f>
        <v>0</v>
      </c>
      <c r="L634" s="222">
        <f>E640</f>
        <v>0</v>
      </c>
      <c r="M634" s="645">
        <f>Q619+M624+L631</f>
        <v>0</v>
      </c>
      <c r="N634" s="646"/>
      <c r="O634" s="202"/>
      <c r="P634" s="223"/>
      <c r="Q634" s="224"/>
      <c r="R634" s="182"/>
      <c r="S634" s="185"/>
      <c r="T634" s="695" t="s">
        <v>153</v>
      </c>
      <c r="U634" s="696"/>
    </row>
    <row r="635" spans="1:21" ht="41.25" customHeight="1" thickTop="1">
      <c r="A635" s="568"/>
      <c r="B635" s="208"/>
      <c r="C635" s="208"/>
      <c r="D635" s="208"/>
      <c r="E635" s="203">
        <f>ROUND((E633*E634),2)</f>
        <v>0</v>
      </c>
      <c r="F635" s="225"/>
      <c r="G635" s="226"/>
      <c r="H635" s="653" t="s">
        <v>309</v>
      </c>
      <c r="I635" s="655" t="s">
        <v>154</v>
      </c>
      <c r="J635" s="657" t="s">
        <v>155</v>
      </c>
      <c r="K635" s="660" t="s">
        <v>156</v>
      </c>
      <c r="L635" s="661" t="s">
        <v>157</v>
      </c>
      <c r="M635" s="661"/>
      <c r="N635" s="661"/>
      <c r="O635" s="662"/>
      <c r="P635" s="663" t="s">
        <v>158</v>
      </c>
      <c r="Q635" s="227" t="s">
        <v>159</v>
      </c>
      <c r="R635" s="228" t="s">
        <v>160</v>
      </c>
      <c r="S635" s="229" t="s">
        <v>161</v>
      </c>
      <c r="T635" s="695" t="s">
        <v>162</v>
      </c>
      <c r="U635" s="696"/>
    </row>
    <row r="636" spans="1:21" ht="92.25" customHeight="1">
      <c r="A636" s="568"/>
      <c r="B636" s="664" t="s">
        <v>163</v>
      </c>
      <c r="C636" s="117" t="s">
        <v>164</v>
      </c>
      <c r="D636" s="337" t="s">
        <v>165</v>
      </c>
      <c r="E636" s="146" t="s">
        <v>166</v>
      </c>
      <c r="F636" s="697" t="s">
        <v>167</v>
      </c>
      <c r="G636" s="191" t="s">
        <v>168</v>
      </c>
      <c r="H636" s="654"/>
      <c r="I636" s="656"/>
      <c r="J636" s="658"/>
      <c r="K636" s="584"/>
      <c r="L636" s="232" t="s">
        <v>169</v>
      </c>
      <c r="M636" s="123" t="s">
        <v>170</v>
      </c>
      <c r="N636" s="136" t="s">
        <v>171</v>
      </c>
      <c r="O636" s="136" t="s">
        <v>172</v>
      </c>
      <c r="P636" s="556"/>
      <c r="Q636" s="233">
        <f>ROUND(IF(S641&gt;$N$4,IF(S641&lt;=$O$4,7866.25+((S641-$N$4)*$O$3)),0)+IF(S641&gt;$O$4,20177.65+((S641-$O$4)*$P$3),0)+IF(S641&lt;=$N$4,IF(S641*E647&gt;0,S641*E647),0),0.1)</f>
        <v>0</v>
      </c>
      <c r="R636" s="234">
        <f>IF(L631&gt;0,ROUND((ROUND((L631),0.1)*E647),0.1),0)</f>
        <v>0</v>
      </c>
      <c r="S636" s="235">
        <f>IF(Q636+R636-D647&gt;=0,Q636+R636-D647,0)+IF(D647-Q636+R636&gt;0&lt;D647+0.001,Q636+R636-D647,0)</f>
        <v>0</v>
      </c>
      <c r="T636" s="695" t="s">
        <v>173</v>
      </c>
      <c r="U636" s="696"/>
    </row>
    <row r="637" spans="1:21" ht="36.75" customHeight="1">
      <c r="A637" s="568"/>
      <c r="B637" s="665"/>
      <c r="C637" s="230"/>
      <c r="D637" s="236"/>
      <c r="E637" s="237"/>
      <c r="F637" s="698"/>
      <c r="G637" s="239" t="s">
        <v>310</v>
      </c>
      <c r="H637" s="654"/>
      <c r="I637" s="656"/>
      <c r="J637" s="658"/>
      <c r="K637" s="584"/>
      <c r="L637" s="123"/>
      <c r="M637" s="240"/>
      <c r="N637" s="241"/>
      <c r="O637" s="136"/>
      <c r="P637" s="556"/>
      <c r="Q637" s="668" t="s">
        <v>174</v>
      </c>
      <c r="R637" s="669"/>
      <c r="S637" s="235">
        <f>ROUND(IF(S636&gt;=L647,S636-L647,0),0.1)</f>
        <v>0</v>
      </c>
      <c r="T637" s="338" t="str">
        <f>L$8</f>
        <v>styczeń</v>
      </c>
      <c r="U637" s="339" t="str">
        <f>N$8</f>
        <v>2011 r.</v>
      </c>
    </row>
    <row r="638" spans="1:21" ht="48" customHeight="1">
      <c r="A638" s="568"/>
      <c r="B638" s="244">
        <f>IF(B639=0,IF(T619&gt;0,IF(T624&gt;0,IF(T624="I kl",O$1)+IF(T624="II kl",P$1)+IF(T624="III kl",Q$1),ROUND((E$1*B647),2)),0),0)</f>
        <v>0</v>
      </c>
      <c r="C638" s="118" t="s">
        <v>175</v>
      </c>
      <c r="D638" s="123" t="s">
        <v>176</v>
      </c>
      <c r="E638" s="245"/>
      <c r="F638" s="698"/>
      <c r="G638" s="139"/>
      <c r="H638" s="246">
        <f>IF(H639&gt;0,1,0)</f>
        <v>0</v>
      </c>
      <c r="I638" s="247">
        <f>IF(I639&gt;0,1,0)</f>
        <v>0</v>
      </c>
      <c r="J638" s="658"/>
      <c r="K638" s="248">
        <f aca="true" t="shared" si="59" ref="K638:P638">IF(K639&gt;0,1,0)</f>
        <v>0</v>
      </c>
      <c r="L638" s="249">
        <f t="shared" si="59"/>
        <v>0</v>
      </c>
      <c r="M638" s="250">
        <f t="shared" si="59"/>
        <v>0</v>
      </c>
      <c r="N638" s="249">
        <f t="shared" si="59"/>
        <v>0</v>
      </c>
      <c r="O638" s="251">
        <f t="shared" si="59"/>
        <v>0</v>
      </c>
      <c r="P638" s="252">
        <f t="shared" si="59"/>
        <v>0</v>
      </c>
      <c r="Q638" s="670" t="s">
        <v>177</v>
      </c>
      <c r="R638" s="253" t="s">
        <v>178</v>
      </c>
      <c r="S638" s="235">
        <v>0</v>
      </c>
      <c r="T638" s="647" t="s">
        <v>179</v>
      </c>
      <c r="U638" s="648"/>
    </row>
    <row r="639" spans="1:21" ht="57.75" customHeight="1" thickBot="1">
      <c r="A639" s="568"/>
      <c r="B639" s="254"/>
      <c r="C639" s="230"/>
      <c r="D639" s="177">
        <v>0.9</v>
      </c>
      <c r="E639" s="255">
        <f>IF(E637&gt;0,$U$1-E638,0)</f>
        <v>0</v>
      </c>
      <c r="F639" s="238">
        <f>IF(F640&gt;0,1,0)</f>
        <v>0</v>
      </c>
      <c r="G639" s="256" t="s">
        <v>180</v>
      </c>
      <c r="H639" s="257">
        <f>P618+L631-P647</f>
        <v>0</v>
      </c>
      <c r="I639" s="233">
        <f>L618+K630</f>
        <v>0</v>
      </c>
      <c r="J639" s="659"/>
      <c r="K639" s="244">
        <f>S623+K629+L629+O629+R629+O642+L645-N639</f>
        <v>0</v>
      </c>
      <c r="L639" s="244"/>
      <c r="M639" s="244">
        <f>G628+IF(G630&gt;0,G630,0)</f>
        <v>0</v>
      </c>
      <c r="N639" s="244">
        <f>L645-L647</f>
        <v>0</v>
      </c>
      <c r="O639" s="244"/>
      <c r="P639" s="258">
        <f>SUM(K639:O639)</f>
        <v>0</v>
      </c>
      <c r="Q639" s="671"/>
      <c r="R639" s="259" t="s">
        <v>181</v>
      </c>
      <c r="S639" s="235">
        <v>0</v>
      </c>
      <c r="T639" s="647" t="s">
        <v>182</v>
      </c>
      <c r="U639" s="648"/>
    </row>
    <row r="640" spans="1:21" ht="45.75" customHeight="1" thickBot="1" thickTop="1">
      <c r="A640" s="569"/>
      <c r="B640" s="244">
        <f>IF(B639=0,ROUND(IF(B638&gt;0,CEILING((B638/G622),0.01),B639),2),B639)</f>
        <v>0</v>
      </c>
      <c r="C640" s="244">
        <f>IF(T619&gt;0,(IF(C637&gt;0,ROUND(((C637-(C637*(B643+C643+D643)))/30),2),0)+IF(C639&gt;0,ROUND((C639/30),2),0))+(IF(IF(C637&gt;0,ROUND(((C637-(C637*(B643+C643+D643)))/30),2),0)+IF(C639&gt;0,ROUND((C639/30),2),0)&lt;ROUND((($F$1*B647)/30),2),(IF(C637+C639&gt;0,ROUND((($F$1*B647)/30),2)-(IF(C637&gt;0,ROUND(((C637-(C637*(B643+C643+D643)))/30),2),0)+IF(C639&gt;0,ROUND((C639/30),2),0)))),0)),0)</f>
        <v>0</v>
      </c>
      <c r="D640" s="244"/>
      <c r="E640" s="244">
        <f>IF(E639&gt;0,IF(ROUND(E637-((E637/30)*E638),2)-H642+O642&gt;0,ROUND(E637-((E637/30)*E638),2)-H642+O642,0),0)</f>
        <v>0</v>
      </c>
      <c r="F640" s="137"/>
      <c r="G640" s="139"/>
      <c r="H640" s="672" t="s">
        <v>183</v>
      </c>
      <c r="I640" s="673"/>
      <c r="J640" s="673"/>
      <c r="K640" s="673"/>
      <c r="L640" s="673"/>
      <c r="M640" s="674" t="s">
        <v>184</v>
      </c>
      <c r="N640" s="675"/>
      <c r="O640" s="260" t="s">
        <v>185</v>
      </c>
      <c r="P640" s="261" t="s">
        <v>186</v>
      </c>
      <c r="Q640" s="676" t="s">
        <v>187</v>
      </c>
      <c r="R640" s="677"/>
      <c r="S640" s="262">
        <f>ROUND((IF(S637-S638&gt;=0,S637-S638,0)+S639),0.1)</f>
        <v>0</v>
      </c>
      <c r="T640" s="263" t="str">
        <f>L$8</f>
        <v>styczeń</v>
      </c>
      <c r="U640" s="264" t="str">
        <f>N$8</f>
        <v>2011 r.</v>
      </c>
    </row>
    <row r="641" spans="1:21" ht="69.75" customHeight="1" thickBot="1" thickTop="1">
      <c r="A641" s="568"/>
      <c r="B641" s="699" t="s">
        <v>188</v>
      </c>
      <c r="C641" s="700"/>
      <c r="D641" s="700"/>
      <c r="E641" s="701"/>
      <c r="F641" s="265" t="s">
        <v>189</v>
      </c>
      <c r="G641" s="266" t="s">
        <v>190</v>
      </c>
      <c r="H641" s="267" t="s">
        <v>191</v>
      </c>
      <c r="I641" s="268" t="s">
        <v>192</v>
      </c>
      <c r="J641" s="269" t="s">
        <v>193</v>
      </c>
      <c r="K641" s="238" t="s">
        <v>194</v>
      </c>
      <c r="L641" s="270" t="s">
        <v>195</v>
      </c>
      <c r="M641" s="198" t="s">
        <v>196</v>
      </c>
      <c r="N641" s="271" t="s">
        <v>197</v>
      </c>
      <c r="O641" s="294" t="s">
        <v>198</v>
      </c>
      <c r="P641" s="273" t="s">
        <v>199</v>
      </c>
      <c r="Q641" s="340" t="s">
        <v>200</v>
      </c>
      <c r="R641" s="275" t="s">
        <v>201</v>
      </c>
      <c r="S641" s="276">
        <f>IF(ROUND((P618-P647-C647),0.1)&gt;0,ROUND((P618-P647-C647),0.1),0)</f>
        <v>0</v>
      </c>
      <c r="T641" s="277"/>
      <c r="U641" s="278"/>
    </row>
    <row r="642" spans="1:21" ht="81" customHeight="1" thickTop="1">
      <c r="A642" s="568"/>
      <c r="B642" s="279" t="s">
        <v>202</v>
      </c>
      <c r="C642" s="279" t="s">
        <v>203</v>
      </c>
      <c r="D642" s="279" t="s">
        <v>204</v>
      </c>
      <c r="E642" s="279" t="s">
        <v>205</v>
      </c>
      <c r="F642" s="279" t="s">
        <v>206</v>
      </c>
      <c r="G642" s="280">
        <f>ROUND((H642*G644),2)</f>
        <v>0</v>
      </c>
      <c r="H642" s="281">
        <f>Q619+O629</f>
        <v>0</v>
      </c>
      <c r="I642" s="282">
        <f>Q619+O629</f>
        <v>0</v>
      </c>
      <c r="J642" s="282">
        <f>Q619+O629</f>
        <v>0</v>
      </c>
      <c r="K642" s="282">
        <f>Q619+O629</f>
        <v>0</v>
      </c>
      <c r="L642" s="283">
        <f>Q619+H629+I629-O642+O629</f>
        <v>0</v>
      </c>
      <c r="M642" s="284">
        <f>IF(D637&gt;0,IF(D637&lt;$U$1,ROUND((($E$1/$U$1)*D637),2),$E$1))+IF(K634&gt;0,K634,0)</f>
        <v>0</v>
      </c>
      <c r="N642" s="285">
        <f>M642</f>
        <v>0</v>
      </c>
      <c r="O642" s="286">
        <f>SUM(H645:J645)</f>
        <v>0</v>
      </c>
      <c r="P642" s="287">
        <f>IF(P643&gt;0,1,0)</f>
        <v>0</v>
      </c>
      <c r="Q642" s="288">
        <f>ROUND((H642-O629-P647+H629+I629)*$R$3,2)</f>
        <v>0</v>
      </c>
      <c r="R642" s="681" t="s">
        <v>207</v>
      </c>
      <c r="S642" s="683" t="s">
        <v>311</v>
      </c>
      <c r="T642" s="289"/>
      <c r="U642" s="278"/>
    </row>
    <row r="643" spans="1:21" ht="38.25" customHeight="1">
      <c r="A643" s="568"/>
      <c r="B643" s="158">
        <f>IF(H642&gt;0,B$2,0)</f>
        <v>0</v>
      </c>
      <c r="C643" s="158">
        <f>IF(I642&gt;0,H$4,0)</f>
        <v>0</v>
      </c>
      <c r="D643" s="158">
        <f>IF(J642&gt;0,F$2,0)</f>
        <v>0</v>
      </c>
      <c r="E643" s="158" t="s">
        <v>208</v>
      </c>
      <c r="F643" s="290" t="s">
        <v>209</v>
      </c>
      <c r="G643" s="291">
        <v>0</v>
      </c>
      <c r="H643" s="685" t="s">
        <v>210</v>
      </c>
      <c r="I643" s="686"/>
      <c r="J643" s="686"/>
      <c r="K643" s="686"/>
      <c r="L643" s="686"/>
      <c r="M643" s="292" t="s">
        <v>211</v>
      </c>
      <c r="N643" s="293" t="s">
        <v>212</v>
      </c>
      <c r="O643" s="294" t="s">
        <v>213</v>
      </c>
      <c r="P643" s="52">
        <f>IF(I642&lt;$E$1,IF(B647=1,IF(T624=0,ROUND((I642*$L$2),2),0),0),ROUND((I642*$L$2),2))</f>
        <v>0</v>
      </c>
      <c r="Q643" s="295" t="s">
        <v>214</v>
      </c>
      <c r="R643" s="682"/>
      <c r="S643" s="684"/>
      <c r="T643" s="289"/>
      <c r="U643" s="278"/>
    </row>
    <row r="644" spans="1:21" ht="42.75" customHeight="1" thickBot="1">
      <c r="A644" s="568"/>
      <c r="B644" s="158">
        <f>IF(H642&gt;0,B$2,0)</f>
        <v>0</v>
      </c>
      <c r="C644" s="158">
        <f>IF(I642&gt;0,D$2,0)</f>
        <v>0</v>
      </c>
      <c r="D644" s="158" t="s">
        <v>208</v>
      </c>
      <c r="E644" s="158">
        <f>IF(K642&gt;0,H$2,0)</f>
        <v>0</v>
      </c>
      <c r="F644" s="158">
        <f>IF(L642&gt;0,J$2,0)</f>
        <v>0</v>
      </c>
      <c r="G644" s="158">
        <f>IF(G643&gt;0,L$1,0)</f>
        <v>0</v>
      </c>
      <c r="H644" s="296" t="s">
        <v>215</v>
      </c>
      <c r="I644" s="297" t="s">
        <v>215</v>
      </c>
      <c r="J644" s="297" t="s">
        <v>215</v>
      </c>
      <c r="K644" s="298" t="s">
        <v>209</v>
      </c>
      <c r="L644" s="299" t="s">
        <v>215</v>
      </c>
      <c r="M644" s="300">
        <f>ROUND(M642*(B$2+B$2),2)</f>
        <v>0</v>
      </c>
      <c r="N644" s="301">
        <f>ROUND(N642*(D$2+H$4),2)</f>
        <v>0</v>
      </c>
      <c r="O644" s="302">
        <f>H647+I647+K647+G642</f>
        <v>0</v>
      </c>
      <c r="P644" s="303" t="s">
        <v>216</v>
      </c>
      <c r="Q644" s="304">
        <f>ROUND((L642*J$2),2)</f>
        <v>0</v>
      </c>
      <c r="R644" s="305" t="s">
        <v>217</v>
      </c>
      <c r="S644" s="684"/>
      <c r="T644" s="289"/>
      <c r="U644" s="278"/>
    </row>
    <row r="645" spans="1:21" ht="53.25" customHeight="1" thickBot="1" thickTop="1">
      <c r="A645" s="568"/>
      <c r="B645" s="141">
        <f>IF(B643+B644&gt;0,1,0)</f>
        <v>0</v>
      </c>
      <c r="C645" s="141">
        <f>IF(C643+C644&gt;0,1,0)</f>
        <v>0</v>
      </c>
      <c r="D645" s="141">
        <f>IF(D643&gt;0,1,0)</f>
        <v>0</v>
      </c>
      <c r="E645" s="141">
        <f>IF(E644&gt;0,1,0)</f>
        <v>0</v>
      </c>
      <c r="F645" s="141">
        <f>IF(F644&gt;0,1,0)</f>
        <v>0</v>
      </c>
      <c r="G645" s="141">
        <f>IF(G644&gt;0,1,0)</f>
        <v>0</v>
      </c>
      <c r="H645" s="306">
        <f>ROUND(H642*B643,2)</f>
        <v>0</v>
      </c>
      <c r="I645" s="307">
        <f>ROUND(I642*C643,2)</f>
        <v>0</v>
      </c>
      <c r="J645" s="307">
        <f>ROUND(J642*D643,2)</f>
        <v>0</v>
      </c>
      <c r="K645" s="244" t="s">
        <v>209</v>
      </c>
      <c r="L645" s="307">
        <f>IF(S636&gt;=ROUND(L642*F644,2),ROUND(L642*F644,2),S636)</f>
        <v>0</v>
      </c>
      <c r="M645" s="687" t="s">
        <v>218</v>
      </c>
      <c r="N645" s="688"/>
      <c r="O645" s="689" t="s">
        <v>219</v>
      </c>
      <c r="P645" s="308">
        <f>IF(P646&gt;0,1,0)</f>
        <v>0</v>
      </c>
      <c r="Q645" s="309" t="s">
        <v>220</v>
      </c>
      <c r="R645" s="310">
        <f>IF(B622=G622,H623+I623+J623+L623+O623+R623+IF(K623&gt;0,ROUND((K623/K621),2),0),0)+IF(B622&lt;G622,IF(B622&gt;0,ROUND((((H623+J623)/B622)*(G622-B635)),2)+IF(K623&gt;0,ROUND((K623/K621),2),0)+I623+L623+O623+R623,0),0)</f>
        <v>0</v>
      </c>
      <c r="S645" s="235">
        <f>IF(S637-S638&lt;0,S638-S637,0)</f>
        <v>0</v>
      </c>
      <c r="T645" s="289"/>
      <c r="U645" s="278"/>
    </row>
    <row r="646" spans="1:22" ht="63" customHeight="1" thickBot="1" thickTop="1">
      <c r="A646" s="568"/>
      <c r="B646" s="311" t="s">
        <v>221</v>
      </c>
      <c r="C646" s="311" t="s">
        <v>222</v>
      </c>
      <c r="D646" s="311" t="s">
        <v>34</v>
      </c>
      <c r="E646" s="146" t="s">
        <v>223</v>
      </c>
      <c r="F646" s="312" t="s">
        <v>224</v>
      </c>
      <c r="G646" s="139">
        <f>IF(Q642&gt;Q636,Q642-Q636,0)</f>
        <v>0</v>
      </c>
      <c r="H646" s="313" t="s">
        <v>225</v>
      </c>
      <c r="I646" s="314" t="s">
        <v>225</v>
      </c>
      <c r="J646" s="298" t="s">
        <v>209</v>
      </c>
      <c r="K646" s="315" t="s">
        <v>225</v>
      </c>
      <c r="L646" s="316" t="s">
        <v>226</v>
      </c>
      <c r="M646" s="317" t="s">
        <v>227</v>
      </c>
      <c r="N646" s="318" t="s">
        <v>228</v>
      </c>
      <c r="O646" s="690"/>
      <c r="P646" s="319">
        <f>ROUND(N$2*H642,2)</f>
        <v>0</v>
      </c>
      <c r="Q646" s="320">
        <f>IF(D637&gt;0,$U$2,0)</f>
        <v>0</v>
      </c>
      <c r="R646" s="321" t="s">
        <v>229</v>
      </c>
      <c r="S646" s="322" t="s">
        <v>230</v>
      </c>
      <c r="T646" s="691" t="s">
        <v>231</v>
      </c>
      <c r="U646" s="702"/>
      <c r="V646" s="323">
        <f>IF(ISBLANK(AM618),0,IF(IF(AF633&gt;=AI$2,AI$2,AF633)&gt;0,IF(AF633&gt;=AI$2,AI$2,AF633),0))</f>
        <v>0</v>
      </c>
    </row>
    <row r="647" spans="1:22" ht="42" customHeight="1" thickBot="1" thickTop="1">
      <c r="A647" s="570"/>
      <c r="B647" s="324">
        <f>IF(ISBLANK(T619),0,1)</f>
        <v>0</v>
      </c>
      <c r="C647" s="324">
        <f>IF(ISBLANK(T619),0,IF(IF(M634&gt;=P$2,P$2,M634)&gt;0,IF(M634&gt;=P$2,P$2,M634),0))</f>
        <v>0</v>
      </c>
      <c r="D647" s="324">
        <f>IF(ISBLANK(T619),0,S$1)</f>
        <v>0</v>
      </c>
      <c r="E647" s="325">
        <f>IF(G622&gt;0,$N$3,0)</f>
        <v>0</v>
      </c>
      <c r="F647" s="326">
        <f>O642+O644+P643+P646+L645+S640</f>
        <v>0</v>
      </c>
      <c r="G647" s="327">
        <f>IF(G646&gt;0,1,0)</f>
        <v>0</v>
      </c>
      <c r="H647" s="328">
        <f>ROUND(H642*B643,2)</f>
        <v>0</v>
      </c>
      <c r="I647" s="329">
        <f>ROUND(I642*C644,2)</f>
        <v>0</v>
      </c>
      <c r="J647" s="182" t="s">
        <v>209</v>
      </c>
      <c r="K647" s="330">
        <f>ROUND(K642*E644,2)</f>
        <v>0</v>
      </c>
      <c r="L647" s="185">
        <f>IF(S636&gt;=ROUND((H642-O629-P647+H629+I629)*$R$3,2),ROUND((H642-O629-P647+H629+I629)*$R$3,2),S636)</f>
        <v>0</v>
      </c>
      <c r="M647" s="179">
        <f>O642+O644</f>
        <v>0</v>
      </c>
      <c r="N647" s="331">
        <f>M647+L645</f>
        <v>0</v>
      </c>
      <c r="O647" s="332">
        <f>SUM(M644:N644)</f>
        <v>0</v>
      </c>
      <c r="P647" s="333">
        <f>ROUND(Q619*B643,2)+ROUND(Q619*C643,2)+ROUND(Q619*D643,2)</f>
        <v>0</v>
      </c>
      <c r="Q647" s="334">
        <f>IF(D637&gt;0,ROUND(($U$2*J$2),2),0)</f>
        <v>0</v>
      </c>
      <c r="R647" s="335">
        <f>IF(B622&gt;=G622/2,IF(B622=G622,H623+I623+J623+L623+O623+P623+R623+IF(K623&gt;0,ROUND((K623/K621),2),0),ROUND((((H623+J623+L623)/B622)*(G622-B635)),2)+IF(K623&gt;0,ROUND((K623/K621),2),0)+I623+O623+P623+R623),0)</f>
        <v>0</v>
      </c>
      <c r="S647" s="336">
        <f>IF(P618-O642-S640-L645&gt;0,P618-O642-S640-L645,0)</f>
        <v>0</v>
      </c>
      <c r="T647" s="693" t="s">
        <v>232</v>
      </c>
      <c r="U647" s="703"/>
      <c r="V647" s="323">
        <f>IF(ISBLANK(AM619),0,IF(IF(AF634&gt;=AJ$2,AJ$2,AF634)&gt;0,IF(AF634&gt;=AJ$2,AJ$2,AF634),0))</f>
        <v>0</v>
      </c>
    </row>
    <row r="648" ht="24" customHeight="1" thickTop="1"/>
    <row r="649" spans="1:23" ht="33" customHeight="1" thickBot="1">
      <c r="A649" s="111" t="s">
        <v>72</v>
      </c>
      <c r="B649" s="112" t="s">
        <v>73</v>
      </c>
      <c r="C649" s="113"/>
      <c r="D649" s="113"/>
      <c r="E649" s="114"/>
      <c r="F649" s="553" t="s">
        <v>74</v>
      </c>
      <c r="G649" s="555" t="s">
        <v>75</v>
      </c>
      <c r="H649" s="557" t="s">
        <v>76</v>
      </c>
      <c r="I649" s="557"/>
      <c r="J649" s="558"/>
      <c r="K649" s="559"/>
      <c r="L649" s="560"/>
      <c r="M649" s="560"/>
      <c r="N649" s="560"/>
      <c r="O649" s="561"/>
      <c r="P649" s="559"/>
      <c r="Q649" s="560"/>
      <c r="R649" s="560"/>
      <c r="S649" s="560"/>
      <c r="T649" s="565" t="s">
        <v>77</v>
      </c>
      <c r="U649" s="566"/>
      <c r="V649" s="102"/>
      <c r="W649" s="115"/>
    </row>
    <row r="650" spans="1:23" ht="44.25" customHeight="1" thickBot="1" thickTop="1">
      <c r="A650" s="567">
        <f>A618+1</f>
        <v>21</v>
      </c>
      <c r="B650" s="571" t="s">
        <v>79</v>
      </c>
      <c r="C650" s="571" t="s">
        <v>80</v>
      </c>
      <c r="D650" s="573" t="s">
        <v>81</v>
      </c>
      <c r="E650" s="573"/>
      <c r="F650" s="554"/>
      <c r="G650" s="556"/>
      <c r="H650" s="574" t="s">
        <v>82</v>
      </c>
      <c r="I650" s="574"/>
      <c r="J650" s="574"/>
      <c r="K650" s="574"/>
      <c r="L650" s="575">
        <f>P650+S656</f>
        <v>0</v>
      </c>
      <c r="M650" s="576"/>
      <c r="N650" s="577" t="s">
        <v>83</v>
      </c>
      <c r="O650" s="578"/>
      <c r="P650" s="575">
        <f>Q651+M656</f>
        <v>0</v>
      </c>
      <c r="Q650" s="576"/>
      <c r="R650" s="119"/>
      <c r="S650" s="120"/>
      <c r="T650" s="121"/>
      <c r="U650" s="122"/>
      <c r="V650" s="102"/>
      <c r="W650" s="115"/>
    </row>
    <row r="651" spans="1:23" ht="36.75" customHeight="1">
      <c r="A651" s="568"/>
      <c r="B651" s="572"/>
      <c r="C651" s="572"/>
      <c r="D651" s="124" t="s">
        <v>85</v>
      </c>
      <c r="E651" s="124" t="s">
        <v>86</v>
      </c>
      <c r="F651" s="554"/>
      <c r="G651" s="556"/>
      <c r="H651" s="562" t="s">
        <v>87</v>
      </c>
      <c r="I651" s="563"/>
      <c r="J651" s="563"/>
      <c r="K651" s="563"/>
      <c r="L651" s="563"/>
      <c r="M651" s="563"/>
      <c r="N651" s="563"/>
      <c r="O651" s="563"/>
      <c r="P651" s="564"/>
      <c r="Q651" s="579">
        <f>SUM(H655:S655)</f>
        <v>0</v>
      </c>
      <c r="R651" s="580"/>
      <c r="S651" s="125"/>
      <c r="T651" s="581"/>
      <c r="U651" s="582"/>
      <c r="V651" s="102"/>
      <c r="W651" s="115"/>
    </row>
    <row r="652" spans="1:23" ht="38.25" customHeight="1">
      <c r="A652" s="568"/>
      <c r="B652" s="572"/>
      <c r="C652" s="126"/>
      <c r="D652" s="124" t="s">
        <v>89</v>
      </c>
      <c r="E652" s="124" t="s">
        <v>89</v>
      </c>
      <c r="F652" s="554"/>
      <c r="G652" s="127"/>
      <c r="H652" s="128" t="s">
        <v>90</v>
      </c>
      <c r="I652" s="129" t="s">
        <v>91</v>
      </c>
      <c r="J652" s="129" t="s">
        <v>92</v>
      </c>
      <c r="K652" s="130" t="s">
        <v>93</v>
      </c>
      <c r="L652" s="583" t="s">
        <v>94</v>
      </c>
      <c r="M652" s="583" t="s">
        <v>95</v>
      </c>
      <c r="N652" s="583" t="s">
        <v>96</v>
      </c>
      <c r="O652" s="585" t="s">
        <v>97</v>
      </c>
      <c r="P652" s="583" t="s">
        <v>98</v>
      </c>
      <c r="Q652" s="587" t="s">
        <v>99</v>
      </c>
      <c r="R652" s="589" t="s">
        <v>100</v>
      </c>
      <c r="S652" s="591" t="s">
        <v>101</v>
      </c>
      <c r="T652" s="581"/>
      <c r="U652" s="582"/>
      <c r="V652" s="102"/>
      <c r="W652" s="115"/>
    </row>
    <row r="653" spans="1:23" ht="30" customHeight="1">
      <c r="A653" s="568"/>
      <c r="B653" s="572"/>
      <c r="C653" s="131"/>
      <c r="D653" s="131"/>
      <c r="E653" s="131"/>
      <c r="F653" s="554"/>
      <c r="G653" s="127"/>
      <c r="H653" s="132" t="s">
        <v>103</v>
      </c>
      <c r="I653" s="133" t="s">
        <v>104</v>
      </c>
      <c r="J653" s="134">
        <v>0</v>
      </c>
      <c r="K653" s="135">
        <v>1</v>
      </c>
      <c r="L653" s="584"/>
      <c r="M653" s="584"/>
      <c r="N653" s="584"/>
      <c r="O653" s="586"/>
      <c r="P653" s="584"/>
      <c r="Q653" s="588"/>
      <c r="R653" s="590"/>
      <c r="S653" s="592"/>
      <c r="T653" s="581"/>
      <c r="U653" s="582"/>
      <c r="V653" s="102"/>
      <c r="W653" s="115"/>
    </row>
    <row r="654" spans="1:21" ht="51" customHeight="1">
      <c r="A654" s="568"/>
      <c r="B654" s="137">
        <f>G654</f>
        <v>0</v>
      </c>
      <c r="C654" s="137"/>
      <c r="D654" s="137"/>
      <c r="E654" s="138"/>
      <c r="F654" s="138"/>
      <c r="G654" s="139">
        <f>B$1*B679</f>
        <v>0</v>
      </c>
      <c r="H654" s="140">
        <f aca="true" t="shared" si="60" ref="H654:S654">IF(H655&gt;0,1,0)</f>
        <v>0</v>
      </c>
      <c r="I654" s="141">
        <f t="shared" si="60"/>
        <v>0</v>
      </c>
      <c r="J654" s="141">
        <f t="shared" si="60"/>
        <v>0</v>
      </c>
      <c r="K654" s="142">
        <f t="shared" si="60"/>
        <v>0</v>
      </c>
      <c r="L654" s="142">
        <f t="shared" si="60"/>
        <v>0</v>
      </c>
      <c r="M654" s="142">
        <f t="shared" si="60"/>
        <v>0</v>
      </c>
      <c r="N654" s="142">
        <f t="shared" si="60"/>
        <v>0</v>
      </c>
      <c r="O654" s="141">
        <f t="shared" si="60"/>
        <v>0</v>
      </c>
      <c r="P654" s="142">
        <f t="shared" si="60"/>
        <v>0</v>
      </c>
      <c r="Q654" s="142">
        <f t="shared" si="60"/>
        <v>0</v>
      </c>
      <c r="R654" s="143">
        <f t="shared" si="60"/>
        <v>0</v>
      </c>
      <c r="S654" s="144">
        <f t="shared" si="60"/>
        <v>0</v>
      </c>
      <c r="T654" s="593"/>
      <c r="U654" s="594"/>
    </row>
    <row r="655" spans="1:22" ht="49.5" customHeight="1" thickBot="1">
      <c r="A655" s="568"/>
      <c r="B655" s="595" t="s">
        <v>106</v>
      </c>
      <c r="C655" s="595" t="s">
        <v>107</v>
      </c>
      <c r="D655" s="596" t="s">
        <v>108</v>
      </c>
      <c r="E655" s="148" t="s">
        <v>109</v>
      </c>
      <c r="F655" s="149"/>
      <c r="G655" s="597" t="s">
        <v>110</v>
      </c>
      <c r="H655" s="150">
        <f>IF(B654+B658+B665+B667+C664+D658+F655&gt;0,IF(B670&gt;0,B670-(IF(E658+F658+G658+B662+C662+D662+E662+F662&gt;0,ROUND((B670/30)*IF(E658+F658+G658+B662+C662+D662+E662+F662&lt;31,E658+F658+G658+B662+C662+D662+E662+F662,30),2),0)+ROUND(((B670/G654)*(B658+B665+B667+C664+D658)),2)),0),0)+IF(B654&gt;G654,IF(B670&gt;0,(B654-G654)*B672,0),0)+IF(B671&gt;0,B671*B654,0)-IF(IF(B654+B658+B665+B667+C664+D658+F655&gt;0,IF(B670&gt;0,B670-(IF(E658+F658+G658+B662+C662+D662+E662+F662&gt;0,ROUND((B670/30)*IF(E658+F658+G658+B662+C662+D662+E662+F662&lt;31,E658+F658+G658+B662+C662+D662+E662+F662,30),2),0)+ROUND(((B670/G654)*(B658+B665+B667+C664+D658)),2)),0),0)&lt;0,IF(B654+B658+B665+B667+C664+D658+F655&gt;0,IF(B670&gt;0,B670-(IF(E658+F658+G658+B662+C662+D662+E662+F662&gt;0,ROUND((B670/30)*IF(E658+F658+G658+B662+C662+D662+E662+F662&lt;31,E658+F658+G658+B662+C662+D662+E662+F662,30),2),0)+ROUND(((B670/G654)*(B658+B665+B667+C664+D658)),2)),0),0),0)</f>
        <v>0</v>
      </c>
      <c r="I655" s="151">
        <f>ROUND(D654*ROUND(B672*150%,2)+E654*ROUND(B672*200%,2),2)</f>
        <v>0</v>
      </c>
      <c r="J655" s="151">
        <f>ROUND((J653*H655),2)</f>
        <v>0</v>
      </c>
      <c r="K655" s="151"/>
      <c r="L655" s="151">
        <f>IF(C654&gt;0,C654*ROUND(B672*U$3,2),0)+IF(U$3=0,IF(C654&gt;0,C654*ROUND(20%*ROUND(E$1/G654,2),2),0))</f>
        <v>0</v>
      </c>
      <c r="M655" s="151">
        <f>IF(B658&gt;0,ROUND((B658*C667),2),0)</f>
        <v>0</v>
      </c>
      <c r="N655" s="151">
        <f>IF(B654+D654+E654+F654&gt;0,ROUND((((H655+I655+J655+L655+O655)/(B654+D654+E654+F654))*D658),2),B672*D658)</f>
        <v>0</v>
      </c>
      <c r="O655" s="151">
        <f>ROUND((F654*B672),2)</f>
        <v>0</v>
      </c>
      <c r="P655" s="151">
        <f>IF(C658&gt;0,ROUND((D667/($I$1*8*B679)),2)*C658,0)</f>
        <v>0</v>
      </c>
      <c r="Q655" s="151"/>
      <c r="R655" s="152"/>
      <c r="S655" s="153">
        <f>IF(G672&gt;500,G672-500,0)+IF(F672&gt;190,F672-190,0)</f>
        <v>0</v>
      </c>
      <c r="T655" s="593"/>
      <c r="U655" s="594"/>
      <c r="V655" s="154"/>
    </row>
    <row r="656" spans="1:21" ht="57" customHeight="1">
      <c r="A656" s="568"/>
      <c r="B656" s="554"/>
      <c r="C656" s="554"/>
      <c r="D656" s="554"/>
      <c r="E656" s="599" t="s">
        <v>112</v>
      </c>
      <c r="F656" s="599"/>
      <c r="G656" s="598"/>
      <c r="H656" s="600" t="s">
        <v>113</v>
      </c>
      <c r="I656" s="601"/>
      <c r="J656" s="601"/>
      <c r="K656" s="601"/>
      <c r="L656" s="601"/>
      <c r="M656" s="602">
        <f>H661+I661+M657</f>
        <v>0</v>
      </c>
      <c r="N656" s="603"/>
      <c r="O656" s="604" t="s">
        <v>114</v>
      </c>
      <c r="P656" s="604"/>
      <c r="Q656" s="604"/>
      <c r="R656" s="604"/>
      <c r="S656" s="156">
        <f>S657+O661</f>
        <v>0</v>
      </c>
      <c r="T656" s="605"/>
      <c r="U656" s="606"/>
    </row>
    <row r="657" spans="1:21" ht="38.25" customHeight="1">
      <c r="A657" s="568"/>
      <c r="B657" s="157"/>
      <c r="C657" s="131"/>
      <c r="D657" s="131"/>
      <c r="E657" s="158">
        <v>0.8</v>
      </c>
      <c r="F657" s="158">
        <v>1</v>
      </c>
      <c r="G657" s="159">
        <v>0.8</v>
      </c>
      <c r="H657" s="607" t="s">
        <v>115</v>
      </c>
      <c r="I657" s="608"/>
      <c r="J657" s="609" t="s">
        <v>116</v>
      </c>
      <c r="K657" s="610"/>
      <c r="L657" s="610"/>
      <c r="M657" s="611">
        <f>SUM(J661:N661)</f>
        <v>0</v>
      </c>
      <c r="N657" s="612"/>
      <c r="O657" s="160" t="s">
        <v>117</v>
      </c>
      <c r="P657" s="613" t="s">
        <v>118</v>
      </c>
      <c r="Q657" s="614"/>
      <c r="R657" s="615"/>
      <c r="S657" s="161">
        <f>SUM(P661:S661)</f>
        <v>0</v>
      </c>
      <c r="T657" s="616"/>
      <c r="U657" s="617"/>
    </row>
    <row r="658" spans="1:21" ht="40.5" customHeight="1">
      <c r="A658" s="568"/>
      <c r="B658" s="137"/>
      <c r="C658" s="137"/>
      <c r="D658" s="137"/>
      <c r="E658" s="137"/>
      <c r="F658" s="137"/>
      <c r="G658" s="139"/>
      <c r="H658" s="618" t="s">
        <v>119</v>
      </c>
      <c r="I658" s="162"/>
      <c r="J658" s="620" t="s">
        <v>120</v>
      </c>
      <c r="K658" s="595" t="s">
        <v>121</v>
      </c>
      <c r="L658" s="595" t="s">
        <v>122</v>
      </c>
      <c r="M658" s="595" t="s">
        <v>123</v>
      </c>
      <c r="N658" s="163" t="s">
        <v>124</v>
      </c>
      <c r="O658" s="622" t="s">
        <v>125</v>
      </c>
      <c r="P658" s="624" t="s">
        <v>126</v>
      </c>
      <c r="Q658" s="584" t="s">
        <v>127</v>
      </c>
      <c r="R658" s="634" t="s">
        <v>128</v>
      </c>
      <c r="S658" s="633" t="s">
        <v>129</v>
      </c>
      <c r="T658" s="164"/>
      <c r="U658" s="165"/>
    </row>
    <row r="659" spans="1:21" ht="39.75" customHeight="1">
      <c r="A659" s="568"/>
      <c r="B659" s="571" t="s">
        <v>110</v>
      </c>
      <c r="C659" s="571" t="s">
        <v>130</v>
      </c>
      <c r="D659" s="571" t="s">
        <v>131</v>
      </c>
      <c r="E659" s="571" t="s">
        <v>132</v>
      </c>
      <c r="F659" s="571" t="s">
        <v>110</v>
      </c>
      <c r="G659" s="166" t="s">
        <v>133</v>
      </c>
      <c r="H659" s="619"/>
      <c r="I659" s="167"/>
      <c r="J659" s="621"/>
      <c r="K659" s="554"/>
      <c r="L659" s="554"/>
      <c r="M659" s="554"/>
      <c r="N659" s="168" t="s">
        <v>134</v>
      </c>
      <c r="O659" s="623"/>
      <c r="P659" s="624"/>
      <c r="Q659" s="584"/>
      <c r="R659" s="634"/>
      <c r="S659" s="633"/>
      <c r="T659" s="627">
        <f>I671-S672-P671</f>
        <v>0</v>
      </c>
      <c r="U659" s="628"/>
    </row>
    <row r="660" spans="1:21" ht="35.25" customHeight="1">
      <c r="A660" s="568"/>
      <c r="B660" s="572"/>
      <c r="C660" s="572"/>
      <c r="D660" s="572"/>
      <c r="E660" s="572"/>
      <c r="F660" s="572"/>
      <c r="G660" s="139"/>
      <c r="H660" s="169">
        <f aca="true" t="shared" si="61" ref="H660:M660">IF(H661&gt;0,1,0)</f>
        <v>0</v>
      </c>
      <c r="I660" s="170">
        <f t="shared" si="61"/>
        <v>0</v>
      </c>
      <c r="J660" s="171">
        <f t="shared" si="61"/>
        <v>0</v>
      </c>
      <c r="K660" s="172">
        <f t="shared" si="61"/>
        <v>0</v>
      </c>
      <c r="L660" s="173">
        <f t="shared" si="61"/>
        <v>0</v>
      </c>
      <c r="M660" s="173">
        <f t="shared" si="61"/>
        <v>0</v>
      </c>
      <c r="N660" s="174">
        <v>0</v>
      </c>
      <c r="O660" s="175">
        <f>IF(O661&gt;0,1,0)</f>
        <v>0</v>
      </c>
      <c r="P660" s="171">
        <f>IF(P661&gt;0,1,0)</f>
        <v>0</v>
      </c>
      <c r="Q660" s="173">
        <f>IF(Q661&gt;0,1,0)</f>
        <v>0</v>
      </c>
      <c r="R660" s="173">
        <f>IF(R661&gt;0,1,0)</f>
        <v>0</v>
      </c>
      <c r="S660" s="176">
        <f>IF(S661&gt;0,1,0)</f>
        <v>0</v>
      </c>
      <c r="T660" s="627"/>
      <c r="U660" s="628"/>
    </row>
    <row r="661" spans="1:21" ht="36" customHeight="1" thickBot="1">
      <c r="A661" s="568"/>
      <c r="B661" s="177">
        <v>1</v>
      </c>
      <c r="C661" s="177">
        <v>0.8</v>
      </c>
      <c r="D661" s="572"/>
      <c r="E661" s="572"/>
      <c r="F661" s="177">
        <v>0.7</v>
      </c>
      <c r="G661" s="178">
        <v>0</v>
      </c>
      <c r="H661" s="179">
        <f>IF(E658&gt;0,ROUND((C672*E657),2)*E658,0)+IF(F658&gt;0,C672*F658,0)</f>
        <v>0</v>
      </c>
      <c r="I661" s="180"/>
      <c r="J661" s="181">
        <f>IF(G654&gt;0,IF(B654&gt;=G654,E667-((E667/22)*F667),(E667-(ROUND(((E667/22)*(((G654-B654)/8*B679)+F667)),2))))-IF(B654=0,0,0)-IF(B654&lt;=F667*8*B679,E667-ROUND(((E667/22)*(((G654-B654)/8*B679)+F667)),2),0),0)</f>
        <v>0</v>
      </c>
      <c r="K661" s="182">
        <f>G670-R661</f>
        <v>0</v>
      </c>
      <c r="L661" s="182">
        <f>IF(F672&gt;0,IF(F672&lt;190,F672,190),0)</f>
        <v>0</v>
      </c>
      <c r="M661" s="182"/>
      <c r="N661" s="183">
        <f>IF(N660&gt;0,L$3*B679*N660,0)</f>
        <v>0</v>
      </c>
      <c r="O661" s="184">
        <f>IF(C679&lt;=$P$2,IF(G672&gt;0,IF(G672&lt;500,G672,500),0),0)</f>
        <v>0</v>
      </c>
      <c r="P661" s="181">
        <f>IF(G667&gt;0,ROUND(((G667/G654)*B654),2),0)+G666</f>
        <v>0</v>
      </c>
      <c r="Q661" s="182">
        <f>IF(F665&gt;0,ROUND((F665/G654)*B654,2),0)</f>
        <v>0</v>
      </c>
      <c r="R661" s="182">
        <f>IF(G670&gt;0,IF(G670&lt;380,G670,380),0)</f>
        <v>0</v>
      </c>
      <c r="S661" s="185"/>
      <c r="T661" s="627"/>
      <c r="U661" s="628"/>
    </row>
    <row r="662" spans="1:21" ht="60" customHeight="1" thickBot="1" thickTop="1">
      <c r="A662" s="568"/>
      <c r="B662" s="137"/>
      <c r="C662" s="137"/>
      <c r="D662" s="137"/>
      <c r="E662" s="137"/>
      <c r="F662" s="137"/>
      <c r="G662" s="139">
        <f>IF(L650+L663-Q661-P661-K671-J661&gt;$F$1,IF(G661&gt;0,IF(((H671-S672-L677-L671-J661-K661-L661-O674+P679)*(100%-G661))&gt;=(($F$1*B679)-IF(ROUND(((ROUND(($F$1-C679),0.1)*E679)-D679),0.1)&gt;0,ROUND(((ROUND(($F$1-C679),0.1)*E679)-D679),0.1),0)),((H671-S672-L677-L671-J661-K661-L661-O674+P679)*G661)))+IF(G661&gt;0,IF(((H671-S672-L677-L671-J661-K661-L661-O674+P679)*(100%-G661))&lt;(($F$1*B679)-IF(ROUND(((ROUND(($F$1-C679),0.1)*E679)-D679),0.1)&gt;0,ROUND(((ROUND(($F$1-C679),0.1)*E679)-D679),0.1),0)),(H671-S672-L677-L671-J661-K661-L661-O674+P679)-(($F$1*B679)-IF(ROUND(((ROUND(($F$1-C679),0.1)*E679)-D679),0.1)&gt;0,ROUND(((ROUND(($F$1-C679),0.1)*E679)-D679),0.1),0)))),0)</f>
        <v>0</v>
      </c>
      <c r="H662" s="629" t="s">
        <v>135</v>
      </c>
      <c r="I662" s="630"/>
      <c r="J662" s="630"/>
      <c r="K662" s="575">
        <f>L663+P662</f>
        <v>0</v>
      </c>
      <c r="L662" s="576"/>
      <c r="M662" s="631" t="s">
        <v>136</v>
      </c>
      <c r="N662" s="632"/>
      <c r="O662" s="632"/>
      <c r="P662" s="575">
        <f>P663+S663</f>
        <v>0</v>
      </c>
      <c r="Q662" s="575"/>
      <c r="R662" s="186"/>
      <c r="S662" s="186"/>
      <c r="T662" s="187">
        <v>200</v>
      </c>
      <c r="U662" s="188">
        <f>ROUND(((1400/'[1]Li-pł zlec'!$V$1)*'[1]LI-PŁ-prac'!T662),2)+((H661+L663)-ROUND(((H661+L663)*$N$3),2))+O664+P664+P666+R666+S666-O671-L671-M671</f>
        <v>1750</v>
      </c>
    </row>
    <row r="663" spans="1:21" ht="119.25" customHeight="1">
      <c r="A663" s="568"/>
      <c r="B663" s="189" t="s">
        <v>137</v>
      </c>
      <c r="C663" s="190" t="s">
        <v>138</v>
      </c>
      <c r="D663" s="595" t="s">
        <v>139</v>
      </c>
      <c r="E663" s="649" t="s">
        <v>307</v>
      </c>
      <c r="F663" s="191" t="s">
        <v>140</v>
      </c>
      <c r="G663" s="192" t="s">
        <v>141</v>
      </c>
      <c r="H663" s="651" t="s">
        <v>142</v>
      </c>
      <c r="I663" s="652"/>
      <c r="J663" s="652"/>
      <c r="K663" s="652"/>
      <c r="L663" s="193">
        <f>SUM(H666:L666)</f>
        <v>0</v>
      </c>
      <c r="M663" s="625"/>
      <c r="N663" s="626"/>
      <c r="O663" s="626"/>
      <c r="P663" s="193"/>
      <c r="Q663" s="635"/>
      <c r="R663" s="636"/>
      <c r="S663" s="194"/>
      <c r="T663" s="637"/>
      <c r="U663" s="638"/>
    </row>
    <row r="664" spans="1:21" ht="141" customHeight="1" thickBot="1">
      <c r="A664" s="568"/>
      <c r="B664" s="195" t="s">
        <v>143</v>
      </c>
      <c r="C664" s="196"/>
      <c r="D664" s="554"/>
      <c r="E664" s="650"/>
      <c r="F664" s="197">
        <f>IF(F665&gt;0,1,0)</f>
        <v>0</v>
      </c>
      <c r="G664" s="155" t="s">
        <v>308</v>
      </c>
      <c r="H664" s="198" t="s">
        <v>144</v>
      </c>
      <c r="I664" s="199" t="s">
        <v>145</v>
      </c>
      <c r="J664" s="199" t="s">
        <v>146</v>
      </c>
      <c r="K664" s="199" t="s">
        <v>147</v>
      </c>
      <c r="L664" s="200" t="s">
        <v>148</v>
      </c>
      <c r="M664" s="201"/>
      <c r="N664" s="202"/>
      <c r="O664" s="203"/>
      <c r="P664" s="204"/>
      <c r="Q664" s="205"/>
      <c r="R664" s="206"/>
      <c r="S664" s="207"/>
      <c r="T664" s="637"/>
      <c r="U664" s="638"/>
    </row>
    <row r="665" spans="1:21" ht="51.75" customHeight="1">
      <c r="A665" s="568"/>
      <c r="B665" s="208"/>
      <c r="C665" s="595" t="s">
        <v>149</v>
      </c>
      <c r="D665" s="554"/>
      <c r="E665" s="209"/>
      <c r="F665" s="210">
        <f>IF(T651&gt;0,$H$3,0)</f>
        <v>0</v>
      </c>
      <c r="G665" s="211">
        <f>IF(G666+G667&gt;0,1,0)</f>
        <v>0</v>
      </c>
      <c r="H665" s="212">
        <f>IF(H666&gt;0,1,0)</f>
        <v>0</v>
      </c>
      <c r="I665" s="213">
        <f>IF(I666&gt;0,1,0)</f>
        <v>0</v>
      </c>
      <c r="J665" s="213">
        <f>IF(J666&gt;0,1,0)</f>
        <v>0</v>
      </c>
      <c r="K665" s="213">
        <f>IF(K666&gt;0,1,0)</f>
        <v>0</v>
      </c>
      <c r="L665" s="214">
        <f>IF(L666&gt;0,1,0)</f>
        <v>0</v>
      </c>
      <c r="M665" s="639" t="s">
        <v>150</v>
      </c>
      <c r="N665" s="640"/>
      <c r="O665" s="641"/>
      <c r="P665" s="642"/>
      <c r="Q665" s="215"/>
      <c r="R665" s="216"/>
      <c r="S665" s="217"/>
      <c r="T665" s="643"/>
      <c r="U665" s="644"/>
    </row>
    <row r="666" spans="1:21" ht="60.75" customHeight="1" thickBot="1">
      <c r="A666" s="568"/>
      <c r="B666" s="218" t="s">
        <v>151</v>
      </c>
      <c r="C666" s="554"/>
      <c r="D666" s="131"/>
      <c r="E666" s="219">
        <f>IF(E665&gt;0,C$3,0)</f>
        <v>0</v>
      </c>
      <c r="F666" s="220" t="s">
        <v>152</v>
      </c>
      <c r="G666" s="221"/>
      <c r="H666" s="179">
        <f>IF(G658&gt;0,(ROUND((C672*G657),2)*G658),0)+IF(B662&gt;0,(ROUND((C672*B661),2)*B662),0)+IF(F662&gt;0,(ROUND((C672*F661),2)*F662),0)</f>
        <v>0</v>
      </c>
      <c r="I666" s="182">
        <f>IF(E662&gt;0,(ROUND(((D672*D671)/30),2)*E662),0)</f>
        <v>0</v>
      </c>
      <c r="J666" s="182">
        <f>IF(C662&gt;0,(ROUND(C672*C661,2)*C662),0)</f>
        <v>0</v>
      </c>
      <c r="K666" s="182">
        <f>IF(D662&gt;0,(ROUND(C672,2)*D662),0)</f>
        <v>0</v>
      </c>
      <c r="L666" s="222">
        <f>E672</f>
        <v>0</v>
      </c>
      <c r="M666" s="645">
        <f>Q651+M656+L663</f>
        <v>0</v>
      </c>
      <c r="N666" s="646"/>
      <c r="O666" s="202"/>
      <c r="P666" s="223"/>
      <c r="Q666" s="224"/>
      <c r="R666" s="182"/>
      <c r="S666" s="185"/>
      <c r="T666" s="695" t="s">
        <v>153</v>
      </c>
      <c r="U666" s="696"/>
    </row>
    <row r="667" spans="1:21" ht="41.25" customHeight="1" thickTop="1">
      <c r="A667" s="568"/>
      <c r="B667" s="208"/>
      <c r="C667" s="208"/>
      <c r="D667" s="208"/>
      <c r="E667" s="203">
        <f>ROUND((E665*E666),2)</f>
        <v>0</v>
      </c>
      <c r="F667" s="225"/>
      <c r="G667" s="226"/>
      <c r="H667" s="653" t="s">
        <v>309</v>
      </c>
      <c r="I667" s="655" t="s">
        <v>154</v>
      </c>
      <c r="J667" s="657" t="s">
        <v>155</v>
      </c>
      <c r="K667" s="660" t="s">
        <v>156</v>
      </c>
      <c r="L667" s="661" t="s">
        <v>157</v>
      </c>
      <c r="M667" s="661"/>
      <c r="N667" s="661"/>
      <c r="O667" s="662"/>
      <c r="P667" s="663" t="s">
        <v>158</v>
      </c>
      <c r="Q667" s="227" t="s">
        <v>159</v>
      </c>
      <c r="R667" s="228" t="s">
        <v>160</v>
      </c>
      <c r="S667" s="229" t="s">
        <v>161</v>
      </c>
      <c r="T667" s="695" t="s">
        <v>162</v>
      </c>
      <c r="U667" s="696"/>
    </row>
    <row r="668" spans="1:21" ht="92.25" customHeight="1">
      <c r="A668" s="568"/>
      <c r="B668" s="664" t="s">
        <v>163</v>
      </c>
      <c r="C668" s="117" t="s">
        <v>164</v>
      </c>
      <c r="D668" s="337" t="s">
        <v>165</v>
      </c>
      <c r="E668" s="146" t="s">
        <v>166</v>
      </c>
      <c r="F668" s="697" t="s">
        <v>167</v>
      </c>
      <c r="G668" s="191" t="s">
        <v>168</v>
      </c>
      <c r="H668" s="654"/>
      <c r="I668" s="656"/>
      <c r="J668" s="658"/>
      <c r="K668" s="584"/>
      <c r="L668" s="232" t="s">
        <v>169</v>
      </c>
      <c r="M668" s="123" t="s">
        <v>170</v>
      </c>
      <c r="N668" s="136" t="s">
        <v>171</v>
      </c>
      <c r="O668" s="136" t="s">
        <v>172</v>
      </c>
      <c r="P668" s="556"/>
      <c r="Q668" s="233">
        <f>ROUND(IF(S673&gt;$N$4,IF(S673&lt;=$O$4,7866.25+((S673-$N$4)*$O$3)),0)+IF(S673&gt;$O$4,20177.65+((S673-$O$4)*$P$3),0)+IF(S673&lt;=$N$4,IF(S673*E679&gt;0,S673*E679),0),0.1)</f>
        <v>0</v>
      </c>
      <c r="R668" s="234">
        <f>IF(L663&gt;0,ROUND((ROUND((L663),0.1)*E679),0.1),0)</f>
        <v>0</v>
      </c>
      <c r="S668" s="235">
        <f>IF(Q668+R668-D679&gt;=0,Q668+R668-D679,0)+IF(D679-Q668+R668&gt;0&lt;D679+0.001,Q668+R668-D679,0)</f>
        <v>0</v>
      </c>
      <c r="T668" s="695" t="s">
        <v>173</v>
      </c>
      <c r="U668" s="696"/>
    </row>
    <row r="669" spans="1:21" ht="36.75" customHeight="1">
      <c r="A669" s="568"/>
      <c r="B669" s="665"/>
      <c r="C669" s="230"/>
      <c r="D669" s="236"/>
      <c r="E669" s="237"/>
      <c r="F669" s="698"/>
      <c r="G669" s="239" t="s">
        <v>310</v>
      </c>
      <c r="H669" s="654"/>
      <c r="I669" s="656"/>
      <c r="J669" s="658"/>
      <c r="K669" s="584"/>
      <c r="L669" s="123"/>
      <c r="M669" s="240"/>
      <c r="N669" s="241"/>
      <c r="O669" s="136"/>
      <c r="P669" s="556"/>
      <c r="Q669" s="668" t="s">
        <v>174</v>
      </c>
      <c r="R669" s="669"/>
      <c r="S669" s="235">
        <f>ROUND(IF(S668&gt;=L679,S668-L679,0),0.1)</f>
        <v>0</v>
      </c>
      <c r="T669" s="338" t="str">
        <f>L$8</f>
        <v>styczeń</v>
      </c>
      <c r="U669" s="339" t="str">
        <f>N$8</f>
        <v>2011 r.</v>
      </c>
    </row>
    <row r="670" spans="1:21" ht="48" customHeight="1">
      <c r="A670" s="568"/>
      <c r="B670" s="244">
        <f>IF(B671=0,IF(T651&gt;0,IF(T656&gt;0,IF(T656="I kl",O$1)+IF(T656="II kl",P$1)+IF(T656="III kl",Q$1),ROUND((E$1*B679),2)),0),0)</f>
        <v>0</v>
      </c>
      <c r="C670" s="118" t="s">
        <v>175</v>
      </c>
      <c r="D670" s="123" t="s">
        <v>176</v>
      </c>
      <c r="E670" s="245"/>
      <c r="F670" s="698"/>
      <c r="G670" s="139"/>
      <c r="H670" s="246">
        <f>IF(H671&gt;0,1,0)</f>
        <v>0</v>
      </c>
      <c r="I670" s="247">
        <f>IF(I671&gt;0,1,0)</f>
        <v>0</v>
      </c>
      <c r="J670" s="658"/>
      <c r="K670" s="248">
        <f aca="true" t="shared" si="62" ref="K670:P670">IF(K671&gt;0,1,0)</f>
        <v>0</v>
      </c>
      <c r="L670" s="249">
        <f t="shared" si="62"/>
        <v>0</v>
      </c>
      <c r="M670" s="250">
        <f t="shared" si="62"/>
        <v>0</v>
      </c>
      <c r="N670" s="249">
        <f t="shared" si="62"/>
        <v>0</v>
      </c>
      <c r="O670" s="251">
        <f t="shared" si="62"/>
        <v>0</v>
      </c>
      <c r="P670" s="252">
        <f t="shared" si="62"/>
        <v>0</v>
      </c>
      <c r="Q670" s="670" t="s">
        <v>177</v>
      </c>
      <c r="R670" s="253" t="s">
        <v>178</v>
      </c>
      <c r="S670" s="235">
        <v>0</v>
      </c>
      <c r="T670" s="647" t="s">
        <v>179</v>
      </c>
      <c r="U670" s="648"/>
    </row>
    <row r="671" spans="1:21" ht="57.75" customHeight="1" thickBot="1">
      <c r="A671" s="568"/>
      <c r="B671" s="254"/>
      <c r="C671" s="230"/>
      <c r="D671" s="177">
        <v>0.9</v>
      </c>
      <c r="E671" s="255">
        <f>IF(E669&gt;0,$U$1-E670,0)</f>
        <v>0</v>
      </c>
      <c r="F671" s="238">
        <f>IF(F672&gt;0,1,0)</f>
        <v>0</v>
      </c>
      <c r="G671" s="256" t="s">
        <v>180</v>
      </c>
      <c r="H671" s="257">
        <f>P650+L663-P679</f>
        <v>0</v>
      </c>
      <c r="I671" s="233">
        <f>L650+K662</f>
        <v>0</v>
      </c>
      <c r="J671" s="659"/>
      <c r="K671" s="244">
        <f>S655+K661+L661+O661+R661+O674+L677-N671</f>
        <v>0</v>
      </c>
      <c r="L671" s="244"/>
      <c r="M671" s="244">
        <f>G660+IF(G662&gt;0,G662,0)</f>
        <v>0</v>
      </c>
      <c r="N671" s="244">
        <f>L677-L679</f>
        <v>0</v>
      </c>
      <c r="O671" s="244"/>
      <c r="P671" s="258">
        <f>SUM(K671:O671)</f>
        <v>0</v>
      </c>
      <c r="Q671" s="671"/>
      <c r="R671" s="259" t="s">
        <v>181</v>
      </c>
      <c r="S671" s="235">
        <v>0</v>
      </c>
      <c r="T671" s="647" t="s">
        <v>182</v>
      </c>
      <c r="U671" s="648"/>
    </row>
    <row r="672" spans="1:21" ht="45.75" customHeight="1" thickBot="1" thickTop="1">
      <c r="A672" s="569"/>
      <c r="B672" s="244">
        <f>IF(B671=0,ROUND(IF(B670&gt;0,CEILING((B670/G654),0.01),B671),2),B671)</f>
        <v>0</v>
      </c>
      <c r="C672" s="244">
        <f>IF(T651&gt;0,(IF(C669&gt;0,ROUND(((C669-(C669*(B675+C675+D675)))/30),2),0)+IF(C671&gt;0,ROUND((C671/30),2),0))+(IF(IF(C669&gt;0,ROUND(((C669-(C669*(B675+C675+D675)))/30),2),0)+IF(C671&gt;0,ROUND((C671/30),2),0)&lt;ROUND((($F$1*B679)/30),2),(IF(C669+C671&gt;0,ROUND((($F$1*B679)/30),2)-(IF(C669&gt;0,ROUND(((C669-(C669*(B675+C675+D675)))/30),2),0)+IF(C671&gt;0,ROUND((C671/30),2),0)))),0)),0)</f>
        <v>0</v>
      </c>
      <c r="D672" s="244"/>
      <c r="E672" s="244">
        <f>IF(E671&gt;0,IF(ROUND(E669-((E669/30)*E670),2)-H674+O674&gt;0,ROUND(E669-((E669/30)*E670),2)-H674+O674,0),0)</f>
        <v>0</v>
      </c>
      <c r="F672" s="137"/>
      <c r="G672" s="139"/>
      <c r="H672" s="672" t="s">
        <v>183</v>
      </c>
      <c r="I672" s="673"/>
      <c r="J672" s="673"/>
      <c r="K672" s="673"/>
      <c r="L672" s="673"/>
      <c r="M672" s="674" t="s">
        <v>184</v>
      </c>
      <c r="N672" s="675"/>
      <c r="O672" s="260" t="s">
        <v>185</v>
      </c>
      <c r="P672" s="261" t="s">
        <v>186</v>
      </c>
      <c r="Q672" s="676" t="s">
        <v>187</v>
      </c>
      <c r="R672" s="677"/>
      <c r="S672" s="262">
        <f>ROUND((IF(S669-S670&gt;=0,S669-S670,0)+S671),0.1)</f>
        <v>0</v>
      </c>
      <c r="T672" s="263" t="str">
        <f>L$8</f>
        <v>styczeń</v>
      </c>
      <c r="U672" s="264" t="str">
        <f>N$8</f>
        <v>2011 r.</v>
      </c>
    </row>
    <row r="673" spans="1:21" ht="69.75" customHeight="1" thickBot="1" thickTop="1">
      <c r="A673" s="568"/>
      <c r="B673" s="699" t="s">
        <v>188</v>
      </c>
      <c r="C673" s="700"/>
      <c r="D673" s="700"/>
      <c r="E673" s="701"/>
      <c r="F673" s="265" t="s">
        <v>189</v>
      </c>
      <c r="G673" s="266" t="s">
        <v>190</v>
      </c>
      <c r="H673" s="267" t="s">
        <v>191</v>
      </c>
      <c r="I673" s="268" t="s">
        <v>192</v>
      </c>
      <c r="J673" s="269" t="s">
        <v>193</v>
      </c>
      <c r="K673" s="238" t="s">
        <v>194</v>
      </c>
      <c r="L673" s="270" t="s">
        <v>195</v>
      </c>
      <c r="M673" s="198" t="s">
        <v>196</v>
      </c>
      <c r="N673" s="271" t="s">
        <v>197</v>
      </c>
      <c r="O673" s="294" t="s">
        <v>198</v>
      </c>
      <c r="P673" s="273" t="s">
        <v>199</v>
      </c>
      <c r="Q673" s="340" t="s">
        <v>200</v>
      </c>
      <c r="R673" s="275" t="s">
        <v>201</v>
      </c>
      <c r="S673" s="276">
        <f>IF(ROUND((P650-P679-C679),0.1)&gt;0,ROUND((P650-P679-C679),0.1),0)</f>
        <v>0</v>
      </c>
      <c r="T673" s="277"/>
      <c r="U673" s="278"/>
    </row>
    <row r="674" spans="1:21" ht="81" customHeight="1" thickTop="1">
      <c r="A674" s="568"/>
      <c r="B674" s="279" t="s">
        <v>202</v>
      </c>
      <c r="C674" s="279" t="s">
        <v>203</v>
      </c>
      <c r="D674" s="279" t="s">
        <v>204</v>
      </c>
      <c r="E674" s="279" t="s">
        <v>205</v>
      </c>
      <c r="F674" s="279" t="s">
        <v>206</v>
      </c>
      <c r="G674" s="280">
        <f>ROUND((H674*G676),2)</f>
        <v>0</v>
      </c>
      <c r="H674" s="281">
        <f>Q651+O661</f>
        <v>0</v>
      </c>
      <c r="I674" s="282">
        <f>Q651+O661</f>
        <v>0</v>
      </c>
      <c r="J674" s="282">
        <f>Q651+O661</f>
        <v>0</v>
      </c>
      <c r="K674" s="282">
        <f>Q651+O661</f>
        <v>0</v>
      </c>
      <c r="L674" s="283">
        <f>Q651+H661+I661-O674+O661</f>
        <v>0</v>
      </c>
      <c r="M674" s="284">
        <f>IF(D669&gt;0,IF(D669&lt;$U$1,ROUND((($E$1/$U$1)*D669),2),$E$1))+IF(K666&gt;0,K666,0)</f>
        <v>0</v>
      </c>
      <c r="N674" s="285">
        <f>M674</f>
        <v>0</v>
      </c>
      <c r="O674" s="286">
        <f>SUM(H677:J677)</f>
        <v>0</v>
      </c>
      <c r="P674" s="287">
        <f>IF(P675&gt;0,1,0)</f>
        <v>0</v>
      </c>
      <c r="Q674" s="288">
        <f>ROUND((H674-O661-P679+H661+I661)*$R$3,2)</f>
        <v>0</v>
      </c>
      <c r="R674" s="681" t="s">
        <v>207</v>
      </c>
      <c r="S674" s="683" t="s">
        <v>311</v>
      </c>
      <c r="T674" s="289"/>
      <c r="U674" s="278"/>
    </row>
    <row r="675" spans="1:21" ht="38.25" customHeight="1">
      <c r="A675" s="568"/>
      <c r="B675" s="158">
        <f>IF(H674&gt;0,B$2,0)</f>
        <v>0</v>
      </c>
      <c r="C675" s="158">
        <f>IF(I674&gt;0,H$4,0)</f>
        <v>0</v>
      </c>
      <c r="D675" s="158">
        <f>IF(J674&gt;0,F$2,0)</f>
        <v>0</v>
      </c>
      <c r="E675" s="158" t="s">
        <v>208</v>
      </c>
      <c r="F675" s="290" t="s">
        <v>209</v>
      </c>
      <c r="G675" s="291">
        <v>0</v>
      </c>
      <c r="H675" s="685" t="s">
        <v>210</v>
      </c>
      <c r="I675" s="686"/>
      <c r="J675" s="686"/>
      <c r="K675" s="686"/>
      <c r="L675" s="686"/>
      <c r="M675" s="292" t="s">
        <v>211</v>
      </c>
      <c r="N675" s="293" t="s">
        <v>212</v>
      </c>
      <c r="O675" s="294" t="s">
        <v>213</v>
      </c>
      <c r="P675" s="52">
        <f>IF(I674&lt;$E$1,IF(B679=1,IF(T656=0,ROUND((I674*$L$2),2),0),0),ROUND((I674*$L$2),2))</f>
        <v>0</v>
      </c>
      <c r="Q675" s="295" t="s">
        <v>214</v>
      </c>
      <c r="R675" s="682"/>
      <c r="S675" s="684"/>
      <c r="T675" s="289"/>
      <c r="U675" s="278"/>
    </row>
    <row r="676" spans="1:21" ht="42.75" customHeight="1" thickBot="1">
      <c r="A676" s="568"/>
      <c r="B676" s="158">
        <f>IF(H674&gt;0,B$2,0)</f>
        <v>0</v>
      </c>
      <c r="C676" s="158">
        <f>IF(I674&gt;0,D$2,0)</f>
        <v>0</v>
      </c>
      <c r="D676" s="158" t="s">
        <v>208</v>
      </c>
      <c r="E676" s="158">
        <f>IF(K674&gt;0,H$2,0)</f>
        <v>0</v>
      </c>
      <c r="F676" s="158">
        <f>IF(L674&gt;0,J$2,0)</f>
        <v>0</v>
      </c>
      <c r="G676" s="158">
        <f>IF(G675&gt;0,L$1,0)</f>
        <v>0</v>
      </c>
      <c r="H676" s="296" t="s">
        <v>215</v>
      </c>
      <c r="I676" s="297" t="s">
        <v>215</v>
      </c>
      <c r="J676" s="297" t="s">
        <v>215</v>
      </c>
      <c r="K676" s="298" t="s">
        <v>209</v>
      </c>
      <c r="L676" s="299" t="s">
        <v>215</v>
      </c>
      <c r="M676" s="300">
        <f>ROUND(M674*(B$2+B$2),2)</f>
        <v>0</v>
      </c>
      <c r="N676" s="301">
        <f>ROUND(N674*(D$2+H$4),2)</f>
        <v>0</v>
      </c>
      <c r="O676" s="302">
        <f>H679+I679+K679+G674</f>
        <v>0</v>
      </c>
      <c r="P676" s="303" t="s">
        <v>216</v>
      </c>
      <c r="Q676" s="304">
        <f>ROUND((L674*J$2),2)</f>
        <v>0</v>
      </c>
      <c r="R676" s="305" t="s">
        <v>217</v>
      </c>
      <c r="S676" s="684"/>
      <c r="T676" s="289"/>
      <c r="U676" s="278"/>
    </row>
    <row r="677" spans="1:21" ht="53.25" customHeight="1" thickBot="1" thickTop="1">
      <c r="A677" s="568"/>
      <c r="B677" s="141">
        <f>IF(B675+B676&gt;0,1,0)</f>
        <v>0</v>
      </c>
      <c r="C677" s="141">
        <f>IF(C675+C676&gt;0,1,0)</f>
        <v>0</v>
      </c>
      <c r="D677" s="141">
        <f>IF(D675&gt;0,1,0)</f>
        <v>0</v>
      </c>
      <c r="E677" s="141">
        <f>IF(E676&gt;0,1,0)</f>
        <v>0</v>
      </c>
      <c r="F677" s="141">
        <f>IF(F676&gt;0,1,0)</f>
        <v>0</v>
      </c>
      <c r="G677" s="141">
        <f>IF(G676&gt;0,1,0)</f>
        <v>0</v>
      </c>
      <c r="H677" s="306">
        <f>ROUND(H674*B675,2)</f>
        <v>0</v>
      </c>
      <c r="I677" s="307">
        <f>ROUND(I674*C675,2)</f>
        <v>0</v>
      </c>
      <c r="J677" s="307">
        <f>ROUND(J674*D675,2)</f>
        <v>0</v>
      </c>
      <c r="K677" s="244" t="s">
        <v>209</v>
      </c>
      <c r="L677" s="307">
        <f>IF(S668&gt;=ROUND(L674*F676,2),ROUND(L674*F676,2),S668)</f>
        <v>0</v>
      </c>
      <c r="M677" s="687" t="s">
        <v>218</v>
      </c>
      <c r="N677" s="688"/>
      <c r="O677" s="689" t="s">
        <v>219</v>
      </c>
      <c r="P677" s="308">
        <f>IF(P678&gt;0,1,0)</f>
        <v>0</v>
      </c>
      <c r="Q677" s="309" t="s">
        <v>220</v>
      </c>
      <c r="R677" s="310">
        <f>IF(B654=G654,H655+I655+J655+L655+O655+R655+IF(K655&gt;0,ROUND((K655/K653),2),0),0)+IF(B654&lt;G654,IF(B654&gt;0,ROUND((((H655+J655)/B654)*(G654-B667)),2)+IF(K655&gt;0,ROUND((K655/K653),2),0)+I655+L655+O655+R655,0),0)</f>
        <v>0</v>
      </c>
      <c r="S677" s="235">
        <f>IF(S669-S670&lt;0,S670-S669,0)</f>
        <v>0</v>
      </c>
      <c r="T677" s="289"/>
      <c r="U677" s="278"/>
    </row>
    <row r="678" spans="1:22" ht="63" customHeight="1" thickBot="1" thickTop="1">
      <c r="A678" s="568"/>
      <c r="B678" s="311" t="s">
        <v>221</v>
      </c>
      <c r="C678" s="311" t="s">
        <v>222</v>
      </c>
      <c r="D678" s="311" t="s">
        <v>34</v>
      </c>
      <c r="E678" s="146" t="s">
        <v>223</v>
      </c>
      <c r="F678" s="312" t="s">
        <v>224</v>
      </c>
      <c r="G678" s="139">
        <f>IF(Q674&gt;Q668,Q674-Q668,0)</f>
        <v>0</v>
      </c>
      <c r="H678" s="313" t="s">
        <v>225</v>
      </c>
      <c r="I678" s="314" t="s">
        <v>225</v>
      </c>
      <c r="J678" s="298" t="s">
        <v>209</v>
      </c>
      <c r="K678" s="315" t="s">
        <v>225</v>
      </c>
      <c r="L678" s="316" t="s">
        <v>226</v>
      </c>
      <c r="M678" s="317" t="s">
        <v>227</v>
      </c>
      <c r="N678" s="318" t="s">
        <v>228</v>
      </c>
      <c r="O678" s="690"/>
      <c r="P678" s="319">
        <f>ROUND(N$2*H674,2)</f>
        <v>0</v>
      </c>
      <c r="Q678" s="320">
        <f>IF(D669&gt;0,$U$2,0)</f>
        <v>0</v>
      </c>
      <c r="R678" s="321" t="s">
        <v>229</v>
      </c>
      <c r="S678" s="322" t="s">
        <v>230</v>
      </c>
      <c r="T678" s="691" t="s">
        <v>231</v>
      </c>
      <c r="U678" s="702"/>
      <c r="V678" s="323">
        <f>IF(ISBLANK(AM650),0,IF(IF(AF665&gt;=AI$2,AI$2,AF665)&gt;0,IF(AF665&gt;=AI$2,AI$2,AF665),0))</f>
        <v>0</v>
      </c>
    </row>
    <row r="679" spans="1:22" ht="42" customHeight="1" thickBot="1" thickTop="1">
      <c r="A679" s="570"/>
      <c r="B679" s="324">
        <f>IF(ISBLANK(T651),0,1)</f>
        <v>0</v>
      </c>
      <c r="C679" s="324">
        <f>IF(ISBLANK(T651),0,IF(IF(M666&gt;=P$2,P$2,M666)&gt;0,IF(M666&gt;=P$2,P$2,M666),0))</f>
        <v>0</v>
      </c>
      <c r="D679" s="324">
        <f>IF(ISBLANK(T651),0,S$1)</f>
        <v>0</v>
      </c>
      <c r="E679" s="325">
        <f>IF(G654&gt;0,$N$3,0)</f>
        <v>0</v>
      </c>
      <c r="F679" s="326">
        <f>O674+O676+P675+P678+L677+S672</f>
        <v>0</v>
      </c>
      <c r="G679" s="327">
        <f>IF(G678&gt;0,1,0)</f>
        <v>0</v>
      </c>
      <c r="H679" s="328">
        <f>ROUND(H674*B675,2)</f>
        <v>0</v>
      </c>
      <c r="I679" s="329">
        <f>ROUND(I674*C676,2)</f>
        <v>0</v>
      </c>
      <c r="J679" s="182" t="s">
        <v>209</v>
      </c>
      <c r="K679" s="330">
        <f>ROUND(K674*E676,2)</f>
        <v>0</v>
      </c>
      <c r="L679" s="185">
        <f>IF(S668&gt;=ROUND((H674-O661-P679+H661+I661)*$R$3,2),ROUND((H674-O661-P679+H661+I661)*$R$3,2),S668)</f>
        <v>0</v>
      </c>
      <c r="M679" s="179">
        <f>O674+O676</f>
        <v>0</v>
      </c>
      <c r="N679" s="331">
        <f>M679+L677</f>
        <v>0</v>
      </c>
      <c r="O679" s="332">
        <f>SUM(M676:N676)</f>
        <v>0</v>
      </c>
      <c r="P679" s="333">
        <f>ROUND(Q651*B675,2)+ROUND(Q651*C675,2)+ROUND(Q651*D675,2)</f>
        <v>0</v>
      </c>
      <c r="Q679" s="334">
        <f>IF(D669&gt;0,ROUND(($U$2*J$2),2),0)</f>
        <v>0</v>
      </c>
      <c r="R679" s="335">
        <f>IF(B654&gt;=G654/2,IF(B654=G654,H655+I655+J655+L655+O655+P655+R655+IF(K655&gt;0,ROUND((K655/K653),2),0),ROUND((((H655+J655+L655)/B654)*(G654-B667)),2)+IF(K655&gt;0,ROUND((K655/K653),2),0)+I655+O655+P655+R655),0)</f>
        <v>0</v>
      </c>
      <c r="S679" s="336">
        <f>IF(P650-O674-S672-L677&gt;0,P650-O674-S672-L677,0)</f>
        <v>0</v>
      </c>
      <c r="T679" s="693" t="s">
        <v>232</v>
      </c>
      <c r="U679" s="703"/>
      <c r="V679" s="323">
        <f>IF(ISBLANK(AM651),0,IF(IF(AF666&gt;=AJ$2,AJ$2,AF666)&gt;0,IF(AF666&gt;=AJ$2,AJ$2,AF666),0))</f>
        <v>0</v>
      </c>
    </row>
    <row r="680" ht="24" customHeight="1" thickTop="1"/>
    <row r="681" spans="1:23" ht="33" customHeight="1" thickBot="1">
      <c r="A681" s="111" t="s">
        <v>72</v>
      </c>
      <c r="B681" s="112" t="s">
        <v>73</v>
      </c>
      <c r="C681" s="113"/>
      <c r="D681" s="113"/>
      <c r="E681" s="114"/>
      <c r="F681" s="553" t="s">
        <v>74</v>
      </c>
      <c r="G681" s="555" t="s">
        <v>75</v>
      </c>
      <c r="H681" s="557" t="s">
        <v>76</v>
      </c>
      <c r="I681" s="557"/>
      <c r="J681" s="558"/>
      <c r="K681" s="559"/>
      <c r="L681" s="560"/>
      <c r="M681" s="560"/>
      <c r="N681" s="560"/>
      <c r="O681" s="561"/>
      <c r="P681" s="559"/>
      <c r="Q681" s="560"/>
      <c r="R681" s="560"/>
      <c r="S681" s="560"/>
      <c r="T681" s="565" t="s">
        <v>77</v>
      </c>
      <c r="U681" s="566"/>
      <c r="V681" s="102"/>
      <c r="W681" s="115"/>
    </row>
    <row r="682" spans="1:23" ht="44.25" customHeight="1" thickBot="1" thickTop="1">
      <c r="A682" s="567">
        <f>A650+1</f>
        <v>22</v>
      </c>
      <c r="B682" s="571" t="s">
        <v>79</v>
      </c>
      <c r="C682" s="571" t="s">
        <v>80</v>
      </c>
      <c r="D682" s="573" t="s">
        <v>81</v>
      </c>
      <c r="E682" s="573"/>
      <c r="F682" s="554"/>
      <c r="G682" s="556"/>
      <c r="H682" s="574" t="s">
        <v>82</v>
      </c>
      <c r="I682" s="574"/>
      <c r="J682" s="574"/>
      <c r="K682" s="574"/>
      <c r="L682" s="575">
        <f>P682+S688</f>
        <v>0</v>
      </c>
      <c r="M682" s="576"/>
      <c r="N682" s="577" t="s">
        <v>83</v>
      </c>
      <c r="O682" s="578"/>
      <c r="P682" s="575">
        <f>Q683+M688</f>
        <v>0</v>
      </c>
      <c r="Q682" s="576"/>
      <c r="R682" s="119"/>
      <c r="S682" s="120"/>
      <c r="T682" s="121"/>
      <c r="U682" s="122"/>
      <c r="V682" s="102"/>
      <c r="W682" s="115"/>
    </row>
    <row r="683" spans="1:23" ht="36.75" customHeight="1">
      <c r="A683" s="568"/>
      <c r="B683" s="572"/>
      <c r="C683" s="572"/>
      <c r="D683" s="124" t="s">
        <v>85</v>
      </c>
      <c r="E683" s="124" t="s">
        <v>86</v>
      </c>
      <c r="F683" s="554"/>
      <c r="G683" s="556"/>
      <c r="H683" s="562" t="s">
        <v>87</v>
      </c>
      <c r="I683" s="563"/>
      <c r="J683" s="563"/>
      <c r="K683" s="563"/>
      <c r="L683" s="563"/>
      <c r="M683" s="563"/>
      <c r="N683" s="563"/>
      <c r="O683" s="563"/>
      <c r="P683" s="564"/>
      <c r="Q683" s="579">
        <f>SUM(H687:S687)</f>
        <v>0</v>
      </c>
      <c r="R683" s="580"/>
      <c r="S683" s="125"/>
      <c r="T683" s="581"/>
      <c r="U683" s="582"/>
      <c r="V683" s="102"/>
      <c r="W683" s="115"/>
    </row>
    <row r="684" spans="1:23" ht="38.25" customHeight="1">
      <c r="A684" s="568"/>
      <c r="B684" s="572"/>
      <c r="C684" s="126"/>
      <c r="D684" s="124" t="s">
        <v>89</v>
      </c>
      <c r="E684" s="124" t="s">
        <v>89</v>
      </c>
      <c r="F684" s="554"/>
      <c r="G684" s="127"/>
      <c r="H684" s="128" t="s">
        <v>90</v>
      </c>
      <c r="I684" s="129" t="s">
        <v>91</v>
      </c>
      <c r="J684" s="129" t="s">
        <v>92</v>
      </c>
      <c r="K684" s="130" t="s">
        <v>93</v>
      </c>
      <c r="L684" s="583" t="s">
        <v>94</v>
      </c>
      <c r="M684" s="583" t="s">
        <v>95</v>
      </c>
      <c r="N684" s="583" t="s">
        <v>96</v>
      </c>
      <c r="O684" s="585" t="s">
        <v>97</v>
      </c>
      <c r="P684" s="583" t="s">
        <v>98</v>
      </c>
      <c r="Q684" s="587" t="s">
        <v>99</v>
      </c>
      <c r="R684" s="589" t="s">
        <v>100</v>
      </c>
      <c r="S684" s="591" t="s">
        <v>101</v>
      </c>
      <c r="T684" s="581"/>
      <c r="U684" s="582"/>
      <c r="V684" s="102"/>
      <c r="W684" s="115"/>
    </row>
    <row r="685" spans="1:23" ht="30" customHeight="1">
      <c r="A685" s="568"/>
      <c r="B685" s="572"/>
      <c r="C685" s="131"/>
      <c r="D685" s="131"/>
      <c r="E685" s="131"/>
      <c r="F685" s="554"/>
      <c r="G685" s="127"/>
      <c r="H685" s="132" t="s">
        <v>103</v>
      </c>
      <c r="I685" s="133" t="s">
        <v>104</v>
      </c>
      <c r="J685" s="134">
        <v>0</v>
      </c>
      <c r="K685" s="135">
        <v>1</v>
      </c>
      <c r="L685" s="584"/>
      <c r="M685" s="584"/>
      <c r="N685" s="584"/>
      <c r="O685" s="586"/>
      <c r="P685" s="584"/>
      <c r="Q685" s="588"/>
      <c r="R685" s="590"/>
      <c r="S685" s="592"/>
      <c r="T685" s="581"/>
      <c r="U685" s="582"/>
      <c r="V685" s="102"/>
      <c r="W685" s="115"/>
    </row>
    <row r="686" spans="1:21" ht="51" customHeight="1">
      <c r="A686" s="568"/>
      <c r="B686" s="137">
        <f>G686</f>
        <v>0</v>
      </c>
      <c r="C686" s="137"/>
      <c r="D686" s="137"/>
      <c r="E686" s="138"/>
      <c r="F686" s="138"/>
      <c r="G686" s="139">
        <f>B$1*B711</f>
        <v>0</v>
      </c>
      <c r="H686" s="140">
        <f aca="true" t="shared" si="63" ref="H686:S686">IF(H687&gt;0,1,0)</f>
        <v>0</v>
      </c>
      <c r="I686" s="141">
        <f t="shared" si="63"/>
        <v>0</v>
      </c>
      <c r="J686" s="141">
        <f t="shared" si="63"/>
        <v>0</v>
      </c>
      <c r="K686" s="142">
        <f t="shared" si="63"/>
        <v>0</v>
      </c>
      <c r="L686" s="142">
        <f t="shared" si="63"/>
        <v>0</v>
      </c>
      <c r="M686" s="142">
        <f t="shared" si="63"/>
        <v>0</v>
      </c>
      <c r="N686" s="142">
        <f t="shared" si="63"/>
        <v>0</v>
      </c>
      <c r="O686" s="141">
        <f t="shared" si="63"/>
        <v>0</v>
      </c>
      <c r="P686" s="142">
        <f t="shared" si="63"/>
        <v>0</v>
      </c>
      <c r="Q686" s="142">
        <f t="shared" si="63"/>
        <v>0</v>
      </c>
      <c r="R686" s="143">
        <f t="shared" si="63"/>
        <v>0</v>
      </c>
      <c r="S686" s="144">
        <f t="shared" si="63"/>
        <v>0</v>
      </c>
      <c r="T686" s="593"/>
      <c r="U686" s="594"/>
    </row>
    <row r="687" spans="1:22" ht="49.5" customHeight="1" thickBot="1">
      <c r="A687" s="568"/>
      <c r="B687" s="595" t="s">
        <v>106</v>
      </c>
      <c r="C687" s="595" t="s">
        <v>107</v>
      </c>
      <c r="D687" s="596" t="s">
        <v>108</v>
      </c>
      <c r="E687" s="148" t="s">
        <v>109</v>
      </c>
      <c r="F687" s="149"/>
      <c r="G687" s="597" t="s">
        <v>110</v>
      </c>
      <c r="H687" s="150">
        <f>IF(B686+B690+B697+B699+C696+D690+F687&gt;0,IF(B702&gt;0,B702-(IF(E690+F690+G690+B694+C694+D694+E694+F694&gt;0,ROUND((B702/30)*IF(E690+F690+G690+B694+C694+D694+E694+F694&lt;31,E690+F690+G690+B694+C694+D694+E694+F694,30),2),0)+ROUND(((B702/G686)*(B690+B697+B699+C696+D690)),2)),0),0)+IF(B686&gt;G686,IF(B702&gt;0,(B686-G686)*B704,0),0)+IF(B703&gt;0,B703*B686,0)-IF(IF(B686+B690+B697+B699+C696+D690+F687&gt;0,IF(B702&gt;0,B702-(IF(E690+F690+G690+B694+C694+D694+E694+F694&gt;0,ROUND((B702/30)*IF(E690+F690+G690+B694+C694+D694+E694+F694&lt;31,E690+F690+G690+B694+C694+D694+E694+F694,30),2),0)+ROUND(((B702/G686)*(B690+B697+B699+C696+D690)),2)),0),0)&lt;0,IF(B686+B690+B697+B699+C696+D690+F687&gt;0,IF(B702&gt;0,B702-(IF(E690+F690+G690+B694+C694+D694+E694+F694&gt;0,ROUND((B702/30)*IF(E690+F690+G690+B694+C694+D694+E694+F694&lt;31,E690+F690+G690+B694+C694+D694+E694+F694,30),2),0)+ROUND(((B702/G686)*(B690+B697+B699+C696+D690)),2)),0),0),0)</f>
        <v>0</v>
      </c>
      <c r="I687" s="151">
        <f>ROUND(D686*ROUND(B704*150%,2)+E686*ROUND(B704*200%,2),2)</f>
        <v>0</v>
      </c>
      <c r="J687" s="151">
        <f>ROUND((J685*H687),2)</f>
        <v>0</v>
      </c>
      <c r="K687" s="151"/>
      <c r="L687" s="151">
        <f>IF(C686&gt;0,C686*ROUND(B704*U$3,2),0)+IF(U$3=0,IF(C686&gt;0,C686*ROUND(20%*ROUND(E$1/G686,2),2),0))</f>
        <v>0</v>
      </c>
      <c r="M687" s="151">
        <f>IF(B690&gt;0,ROUND((B690*C699),2),0)</f>
        <v>0</v>
      </c>
      <c r="N687" s="151">
        <f>IF(B686+D686+E686+F686&gt;0,ROUND((((H687+I687+J687+L687+O687)/(B686+D686+E686+F686))*D690),2),B704*D690)</f>
        <v>0</v>
      </c>
      <c r="O687" s="151">
        <f>ROUND((F686*B704),2)</f>
        <v>0</v>
      </c>
      <c r="P687" s="151">
        <f>IF(C690&gt;0,ROUND((D699/($I$1*8*B711)),2)*C690,0)</f>
        <v>0</v>
      </c>
      <c r="Q687" s="151"/>
      <c r="R687" s="152"/>
      <c r="S687" s="153">
        <f>IF(G704&gt;500,G704-500,0)+IF(F704&gt;190,F704-190,0)</f>
        <v>0</v>
      </c>
      <c r="T687" s="593"/>
      <c r="U687" s="594"/>
      <c r="V687" s="154"/>
    </row>
    <row r="688" spans="1:21" ht="57" customHeight="1">
      <c r="A688" s="568"/>
      <c r="B688" s="554"/>
      <c r="C688" s="554"/>
      <c r="D688" s="554"/>
      <c r="E688" s="599" t="s">
        <v>112</v>
      </c>
      <c r="F688" s="599"/>
      <c r="G688" s="598"/>
      <c r="H688" s="600" t="s">
        <v>113</v>
      </c>
      <c r="I688" s="601"/>
      <c r="J688" s="601"/>
      <c r="K688" s="601"/>
      <c r="L688" s="601"/>
      <c r="M688" s="602">
        <f>H693+I693+M689</f>
        <v>0</v>
      </c>
      <c r="N688" s="603"/>
      <c r="O688" s="604" t="s">
        <v>114</v>
      </c>
      <c r="P688" s="604"/>
      <c r="Q688" s="604"/>
      <c r="R688" s="604"/>
      <c r="S688" s="156">
        <f>S689+O693</f>
        <v>0</v>
      </c>
      <c r="T688" s="605"/>
      <c r="U688" s="606"/>
    </row>
    <row r="689" spans="1:21" ht="38.25" customHeight="1">
      <c r="A689" s="568"/>
      <c r="B689" s="157"/>
      <c r="C689" s="131"/>
      <c r="D689" s="131"/>
      <c r="E689" s="158">
        <v>0.8</v>
      </c>
      <c r="F689" s="158">
        <v>1</v>
      </c>
      <c r="G689" s="159">
        <v>0.8</v>
      </c>
      <c r="H689" s="607" t="s">
        <v>115</v>
      </c>
      <c r="I689" s="608"/>
      <c r="J689" s="609" t="s">
        <v>116</v>
      </c>
      <c r="K689" s="610"/>
      <c r="L689" s="610"/>
      <c r="M689" s="611">
        <f>SUM(J693:N693)</f>
        <v>0</v>
      </c>
      <c r="N689" s="612"/>
      <c r="O689" s="160" t="s">
        <v>117</v>
      </c>
      <c r="P689" s="613" t="s">
        <v>118</v>
      </c>
      <c r="Q689" s="614"/>
      <c r="R689" s="615"/>
      <c r="S689" s="161">
        <f>SUM(P693:S693)</f>
        <v>0</v>
      </c>
      <c r="T689" s="616"/>
      <c r="U689" s="617"/>
    </row>
    <row r="690" spans="1:21" ht="40.5" customHeight="1">
      <c r="A690" s="568"/>
      <c r="B690" s="137"/>
      <c r="C690" s="137"/>
      <c r="D690" s="137"/>
      <c r="E690" s="137"/>
      <c r="F690" s="137"/>
      <c r="G690" s="139"/>
      <c r="H690" s="618" t="s">
        <v>119</v>
      </c>
      <c r="I690" s="162"/>
      <c r="J690" s="620" t="s">
        <v>120</v>
      </c>
      <c r="K690" s="595" t="s">
        <v>121</v>
      </c>
      <c r="L690" s="595" t="s">
        <v>122</v>
      </c>
      <c r="M690" s="595" t="s">
        <v>123</v>
      </c>
      <c r="N690" s="163" t="s">
        <v>124</v>
      </c>
      <c r="O690" s="622" t="s">
        <v>125</v>
      </c>
      <c r="P690" s="624" t="s">
        <v>126</v>
      </c>
      <c r="Q690" s="584" t="s">
        <v>127</v>
      </c>
      <c r="R690" s="634" t="s">
        <v>128</v>
      </c>
      <c r="S690" s="633" t="s">
        <v>129</v>
      </c>
      <c r="T690" s="164"/>
      <c r="U690" s="165"/>
    </row>
    <row r="691" spans="1:21" ht="39.75" customHeight="1">
      <c r="A691" s="568"/>
      <c r="B691" s="571" t="s">
        <v>110</v>
      </c>
      <c r="C691" s="571" t="s">
        <v>130</v>
      </c>
      <c r="D691" s="571" t="s">
        <v>131</v>
      </c>
      <c r="E691" s="571" t="s">
        <v>132</v>
      </c>
      <c r="F691" s="571" t="s">
        <v>110</v>
      </c>
      <c r="G691" s="166" t="s">
        <v>133</v>
      </c>
      <c r="H691" s="619"/>
      <c r="I691" s="167"/>
      <c r="J691" s="621"/>
      <c r="K691" s="554"/>
      <c r="L691" s="554"/>
      <c r="M691" s="554"/>
      <c r="N691" s="168" t="s">
        <v>134</v>
      </c>
      <c r="O691" s="623"/>
      <c r="P691" s="624"/>
      <c r="Q691" s="584"/>
      <c r="R691" s="634"/>
      <c r="S691" s="633"/>
      <c r="T691" s="627">
        <f>I703-S704-P703</f>
        <v>0</v>
      </c>
      <c r="U691" s="628"/>
    </row>
    <row r="692" spans="1:21" ht="35.25" customHeight="1">
      <c r="A692" s="568"/>
      <c r="B692" s="572"/>
      <c r="C692" s="572"/>
      <c r="D692" s="572"/>
      <c r="E692" s="572"/>
      <c r="F692" s="572"/>
      <c r="G692" s="139"/>
      <c r="H692" s="169">
        <f aca="true" t="shared" si="64" ref="H692:M692">IF(H693&gt;0,1,0)</f>
        <v>0</v>
      </c>
      <c r="I692" s="170">
        <f t="shared" si="64"/>
        <v>0</v>
      </c>
      <c r="J692" s="171">
        <f t="shared" si="64"/>
        <v>0</v>
      </c>
      <c r="K692" s="172">
        <f t="shared" si="64"/>
        <v>0</v>
      </c>
      <c r="L692" s="173">
        <f t="shared" si="64"/>
        <v>0</v>
      </c>
      <c r="M692" s="173">
        <f t="shared" si="64"/>
        <v>0</v>
      </c>
      <c r="N692" s="174">
        <v>0</v>
      </c>
      <c r="O692" s="175">
        <f>IF(O693&gt;0,1,0)</f>
        <v>0</v>
      </c>
      <c r="P692" s="171">
        <f>IF(P693&gt;0,1,0)</f>
        <v>0</v>
      </c>
      <c r="Q692" s="173">
        <f>IF(Q693&gt;0,1,0)</f>
        <v>0</v>
      </c>
      <c r="R692" s="173">
        <f>IF(R693&gt;0,1,0)</f>
        <v>0</v>
      </c>
      <c r="S692" s="176">
        <f>IF(S693&gt;0,1,0)</f>
        <v>0</v>
      </c>
      <c r="T692" s="627"/>
      <c r="U692" s="628"/>
    </row>
    <row r="693" spans="1:21" ht="36" customHeight="1" thickBot="1">
      <c r="A693" s="568"/>
      <c r="B693" s="177">
        <v>1</v>
      </c>
      <c r="C693" s="177">
        <v>0.8</v>
      </c>
      <c r="D693" s="572"/>
      <c r="E693" s="572"/>
      <c r="F693" s="177">
        <v>0.7</v>
      </c>
      <c r="G693" s="178">
        <v>0</v>
      </c>
      <c r="H693" s="179">
        <f>IF(E690&gt;0,ROUND((C704*E689),2)*E690,0)+IF(F690&gt;0,C704*F690,0)</f>
        <v>0</v>
      </c>
      <c r="I693" s="180"/>
      <c r="J693" s="181">
        <f>IF(G686&gt;0,IF(B686&gt;=G686,E699-((E699/22)*F699),(E699-(ROUND(((E699/22)*(((G686-B686)/8*B711)+F699)),2))))-IF(B686=0,0,0)-IF(B686&lt;=F699*8*B711,E699-ROUND(((E699/22)*(((G686-B686)/8*B711)+F699)),2),0),0)</f>
        <v>0</v>
      </c>
      <c r="K693" s="182">
        <f>G702-R693</f>
        <v>0</v>
      </c>
      <c r="L693" s="182">
        <f>IF(F704&gt;0,IF(F704&lt;190,F704,190),0)</f>
        <v>0</v>
      </c>
      <c r="M693" s="182"/>
      <c r="N693" s="183">
        <f>IF(N692&gt;0,L$3*B711*N692,0)</f>
        <v>0</v>
      </c>
      <c r="O693" s="184">
        <f>IF(C711&lt;=$P$2,IF(G704&gt;0,IF(G704&lt;500,G704,500),0),0)</f>
        <v>0</v>
      </c>
      <c r="P693" s="181">
        <f>IF(G699&gt;0,ROUND(((G699/G686)*B686),2),0)+G698</f>
        <v>0</v>
      </c>
      <c r="Q693" s="182">
        <f>IF(F697&gt;0,ROUND((F697/G686)*B686,2),0)</f>
        <v>0</v>
      </c>
      <c r="R693" s="182">
        <f>IF(G702&gt;0,IF(G702&lt;380,G702,380),0)</f>
        <v>0</v>
      </c>
      <c r="S693" s="185"/>
      <c r="T693" s="627"/>
      <c r="U693" s="628"/>
    </row>
    <row r="694" spans="1:21" ht="60" customHeight="1" thickBot="1" thickTop="1">
      <c r="A694" s="568"/>
      <c r="B694" s="137"/>
      <c r="C694" s="137"/>
      <c r="D694" s="137"/>
      <c r="E694" s="137"/>
      <c r="F694" s="137"/>
      <c r="G694" s="139">
        <f>IF(L682+L695-Q693-P693-K703-J693&gt;$F$1,IF(G693&gt;0,IF(((H703-S704-L709-L703-J693-K693-L693-O706+P711)*(100%-G693))&gt;=(($F$1*B711)-IF(ROUND(((ROUND(($F$1-C711),0.1)*E711)-D711),0.1)&gt;0,ROUND(((ROUND(($F$1-C711),0.1)*E711)-D711),0.1),0)),((H703-S704-L709-L703-J693-K693-L693-O706+P711)*G693)))+IF(G693&gt;0,IF(((H703-S704-L709-L703-J693-K693-L693-O706+P711)*(100%-G693))&lt;(($F$1*B711)-IF(ROUND(((ROUND(($F$1-C711),0.1)*E711)-D711),0.1)&gt;0,ROUND(((ROUND(($F$1-C711),0.1)*E711)-D711),0.1),0)),(H703-S704-L709-L703-J693-K693-L693-O706+P711)-(($F$1*B711)-IF(ROUND(((ROUND(($F$1-C711),0.1)*E711)-D711),0.1)&gt;0,ROUND(((ROUND(($F$1-C711),0.1)*E711)-D711),0.1),0)))),0)</f>
        <v>0</v>
      </c>
      <c r="H694" s="629" t="s">
        <v>135</v>
      </c>
      <c r="I694" s="630"/>
      <c r="J694" s="630"/>
      <c r="K694" s="575">
        <f>L695+P694</f>
        <v>0</v>
      </c>
      <c r="L694" s="576"/>
      <c r="M694" s="631" t="s">
        <v>136</v>
      </c>
      <c r="N694" s="632"/>
      <c r="O694" s="632"/>
      <c r="P694" s="575">
        <f>P695+S695</f>
        <v>0</v>
      </c>
      <c r="Q694" s="575"/>
      <c r="R694" s="186"/>
      <c r="S694" s="186"/>
      <c r="T694" s="187">
        <v>200</v>
      </c>
      <c r="U694" s="188">
        <f>ROUND(((1400/'[1]Li-pł zlec'!$V$1)*'[1]LI-PŁ-prac'!T694),2)+((H693+L695)-ROUND(((H693+L695)*$N$3),2))+O696+P696+P698+R698+S698-O703-L703-M703</f>
        <v>1750</v>
      </c>
    </row>
    <row r="695" spans="1:21" ht="119.25" customHeight="1">
      <c r="A695" s="568"/>
      <c r="B695" s="189" t="s">
        <v>137</v>
      </c>
      <c r="C695" s="190" t="s">
        <v>138</v>
      </c>
      <c r="D695" s="595" t="s">
        <v>139</v>
      </c>
      <c r="E695" s="649" t="s">
        <v>307</v>
      </c>
      <c r="F695" s="191" t="s">
        <v>140</v>
      </c>
      <c r="G695" s="192" t="s">
        <v>141</v>
      </c>
      <c r="H695" s="651" t="s">
        <v>142</v>
      </c>
      <c r="I695" s="652"/>
      <c r="J695" s="652"/>
      <c r="K695" s="652"/>
      <c r="L695" s="193">
        <f>SUM(H698:L698)</f>
        <v>0</v>
      </c>
      <c r="M695" s="625"/>
      <c r="N695" s="626"/>
      <c r="O695" s="626"/>
      <c r="P695" s="193"/>
      <c r="Q695" s="635"/>
      <c r="R695" s="636"/>
      <c r="S695" s="194"/>
      <c r="T695" s="637"/>
      <c r="U695" s="638"/>
    </row>
    <row r="696" spans="1:21" ht="141" customHeight="1" thickBot="1">
      <c r="A696" s="568"/>
      <c r="B696" s="195" t="s">
        <v>143</v>
      </c>
      <c r="C696" s="196"/>
      <c r="D696" s="554"/>
      <c r="E696" s="650"/>
      <c r="F696" s="197">
        <f>IF(F697&gt;0,1,0)</f>
        <v>0</v>
      </c>
      <c r="G696" s="155" t="s">
        <v>308</v>
      </c>
      <c r="H696" s="198" t="s">
        <v>144</v>
      </c>
      <c r="I696" s="199" t="s">
        <v>145</v>
      </c>
      <c r="J696" s="199" t="s">
        <v>146</v>
      </c>
      <c r="K696" s="199" t="s">
        <v>147</v>
      </c>
      <c r="L696" s="200" t="s">
        <v>148</v>
      </c>
      <c r="M696" s="201"/>
      <c r="N696" s="202"/>
      <c r="O696" s="203"/>
      <c r="P696" s="204"/>
      <c r="Q696" s="205"/>
      <c r="R696" s="206"/>
      <c r="S696" s="207"/>
      <c r="T696" s="637"/>
      <c r="U696" s="638"/>
    </row>
    <row r="697" spans="1:21" ht="51.75" customHeight="1">
      <c r="A697" s="568"/>
      <c r="B697" s="208"/>
      <c r="C697" s="595" t="s">
        <v>149</v>
      </c>
      <c r="D697" s="554"/>
      <c r="E697" s="209"/>
      <c r="F697" s="210">
        <f>IF(T683&gt;0,$H$3,0)</f>
        <v>0</v>
      </c>
      <c r="G697" s="211">
        <f>IF(G698+G699&gt;0,1,0)</f>
        <v>0</v>
      </c>
      <c r="H697" s="212">
        <f>IF(H698&gt;0,1,0)</f>
        <v>0</v>
      </c>
      <c r="I697" s="213">
        <f>IF(I698&gt;0,1,0)</f>
        <v>0</v>
      </c>
      <c r="J697" s="213">
        <f>IF(J698&gt;0,1,0)</f>
        <v>0</v>
      </c>
      <c r="K697" s="213">
        <f>IF(K698&gt;0,1,0)</f>
        <v>0</v>
      </c>
      <c r="L697" s="214">
        <f>IF(L698&gt;0,1,0)</f>
        <v>0</v>
      </c>
      <c r="M697" s="639" t="s">
        <v>150</v>
      </c>
      <c r="N697" s="640"/>
      <c r="O697" s="641"/>
      <c r="P697" s="642"/>
      <c r="Q697" s="215"/>
      <c r="R697" s="216"/>
      <c r="S697" s="217"/>
      <c r="T697" s="643"/>
      <c r="U697" s="644"/>
    </row>
    <row r="698" spans="1:21" ht="60.75" customHeight="1" thickBot="1">
      <c r="A698" s="568"/>
      <c r="B698" s="218" t="s">
        <v>151</v>
      </c>
      <c r="C698" s="554"/>
      <c r="D698" s="131"/>
      <c r="E698" s="219">
        <f>IF(E697&gt;0,C$3,0)</f>
        <v>0</v>
      </c>
      <c r="F698" s="220" t="s">
        <v>152</v>
      </c>
      <c r="G698" s="221"/>
      <c r="H698" s="179">
        <f>IF(G690&gt;0,(ROUND((C704*G689),2)*G690),0)+IF(B694&gt;0,(ROUND((C704*B693),2)*B694),0)+IF(F694&gt;0,(ROUND((C704*F693),2)*F694),0)</f>
        <v>0</v>
      </c>
      <c r="I698" s="182">
        <f>IF(E694&gt;0,(ROUND(((D704*D703)/30),2)*E694),0)</f>
        <v>0</v>
      </c>
      <c r="J698" s="182">
        <f>IF(C694&gt;0,(ROUND(C704*C693,2)*C694),0)</f>
        <v>0</v>
      </c>
      <c r="K698" s="182">
        <f>IF(D694&gt;0,(ROUND(C704,2)*D694),0)</f>
        <v>0</v>
      </c>
      <c r="L698" s="222">
        <f>E704</f>
        <v>0</v>
      </c>
      <c r="M698" s="645">
        <f>Q683+M688+L695</f>
        <v>0</v>
      </c>
      <c r="N698" s="646"/>
      <c r="O698" s="202"/>
      <c r="P698" s="223"/>
      <c r="Q698" s="224"/>
      <c r="R698" s="182"/>
      <c r="S698" s="185"/>
      <c r="T698" s="695" t="s">
        <v>153</v>
      </c>
      <c r="U698" s="696"/>
    </row>
    <row r="699" spans="1:21" ht="41.25" customHeight="1" thickTop="1">
      <c r="A699" s="568"/>
      <c r="B699" s="208"/>
      <c r="C699" s="208"/>
      <c r="D699" s="208"/>
      <c r="E699" s="203">
        <f>ROUND((E697*E698),2)</f>
        <v>0</v>
      </c>
      <c r="F699" s="225"/>
      <c r="G699" s="226"/>
      <c r="H699" s="653" t="s">
        <v>309</v>
      </c>
      <c r="I699" s="655" t="s">
        <v>154</v>
      </c>
      <c r="J699" s="657" t="s">
        <v>155</v>
      </c>
      <c r="K699" s="660" t="s">
        <v>156</v>
      </c>
      <c r="L699" s="661" t="s">
        <v>157</v>
      </c>
      <c r="M699" s="661"/>
      <c r="N699" s="661"/>
      <c r="O699" s="662"/>
      <c r="P699" s="663" t="s">
        <v>158</v>
      </c>
      <c r="Q699" s="227" t="s">
        <v>159</v>
      </c>
      <c r="R699" s="228" t="s">
        <v>160</v>
      </c>
      <c r="S699" s="229" t="s">
        <v>161</v>
      </c>
      <c r="T699" s="695" t="s">
        <v>162</v>
      </c>
      <c r="U699" s="696"/>
    </row>
    <row r="700" spans="1:21" ht="92.25" customHeight="1">
      <c r="A700" s="568"/>
      <c r="B700" s="664" t="s">
        <v>163</v>
      </c>
      <c r="C700" s="117" t="s">
        <v>164</v>
      </c>
      <c r="D700" s="337" t="s">
        <v>165</v>
      </c>
      <c r="E700" s="146" t="s">
        <v>166</v>
      </c>
      <c r="F700" s="697" t="s">
        <v>167</v>
      </c>
      <c r="G700" s="191" t="s">
        <v>168</v>
      </c>
      <c r="H700" s="654"/>
      <c r="I700" s="656"/>
      <c r="J700" s="658"/>
      <c r="K700" s="584"/>
      <c r="L700" s="232" t="s">
        <v>169</v>
      </c>
      <c r="M700" s="123" t="s">
        <v>170</v>
      </c>
      <c r="N700" s="136" t="s">
        <v>171</v>
      </c>
      <c r="O700" s="136" t="s">
        <v>172</v>
      </c>
      <c r="P700" s="556"/>
      <c r="Q700" s="233">
        <f>ROUND(IF(S705&gt;$N$4,IF(S705&lt;=$O$4,7866.25+((S705-$N$4)*$O$3)),0)+IF(S705&gt;$O$4,20177.65+((S705-$O$4)*$P$3),0)+IF(S705&lt;=$N$4,IF(S705*E711&gt;0,S705*E711),0),0.1)</f>
        <v>0</v>
      </c>
      <c r="R700" s="234">
        <f>IF(L695&gt;0,ROUND((ROUND((L695),0.1)*E711),0.1),0)</f>
        <v>0</v>
      </c>
      <c r="S700" s="235">
        <f>IF(Q700+R700-D711&gt;=0,Q700+R700-D711,0)+IF(D711-Q700+R700&gt;0&lt;D711+0.001,Q700+R700-D711,0)</f>
        <v>0</v>
      </c>
      <c r="T700" s="695" t="s">
        <v>173</v>
      </c>
      <c r="U700" s="696"/>
    </row>
    <row r="701" spans="1:21" ht="36.75" customHeight="1">
      <c r="A701" s="568"/>
      <c r="B701" s="665"/>
      <c r="C701" s="230"/>
      <c r="D701" s="236"/>
      <c r="E701" s="237"/>
      <c r="F701" s="698"/>
      <c r="G701" s="239" t="s">
        <v>310</v>
      </c>
      <c r="H701" s="654"/>
      <c r="I701" s="656"/>
      <c r="J701" s="658"/>
      <c r="K701" s="584"/>
      <c r="L701" s="123"/>
      <c r="M701" s="240"/>
      <c r="N701" s="241"/>
      <c r="O701" s="136"/>
      <c r="P701" s="556"/>
      <c r="Q701" s="668" t="s">
        <v>174</v>
      </c>
      <c r="R701" s="669"/>
      <c r="S701" s="235">
        <f>ROUND(IF(S700&gt;=L711,S700-L711,0),0.1)</f>
        <v>0</v>
      </c>
      <c r="T701" s="338" t="str">
        <f>L$8</f>
        <v>styczeń</v>
      </c>
      <c r="U701" s="339" t="str">
        <f>N$8</f>
        <v>2011 r.</v>
      </c>
    </row>
    <row r="702" spans="1:21" ht="48" customHeight="1">
      <c r="A702" s="568"/>
      <c r="B702" s="244">
        <f>IF(B703=0,IF(T683&gt;0,IF(T688&gt;0,IF(T688="I kl",O$1)+IF(T688="II kl",P$1)+IF(T688="III kl",Q$1),ROUND((E$1*B711),2)),0),0)</f>
        <v>0</v>
      </c>
      <c r="C702" s="118" t="s">
        <v>175</v>
      </c>
      <c r="D702" s="123" t="s">
        <v>176</v>
      </c>
      <c r="E702" s="245"/>
      <c r="F702" s="698"/>
      <c r="G702" s="139"/>
      <c r="H702" s="246">
        <f>IF(H703&gt;0,1,0)</f>
        <v>0</v>
      </c>
      <c r="I702" s="247">
        <f>IF(I703&gt;0,1,0)</f>
        <v>0</v>
      </c>
      <c r="J702" s="658"/>
      <c r="K702" s="248">
        <f aca="true" t="shared" si="65" ref="K702:P702">IF(K703&gt;0,1,0)</f>
        <v>0</v>
      </c>
      <c r="L702" s="249">
        <f t="shared" si="65"/>
        <v>0</v>
      </c>
      <c r="M702" s="250">
        <f t="shared" si="65"/>
        <v>0</v>
      </c>
      <c r="N702" s="249">
        <f t="shared" si="65"/>
        <v>0</v>
      </c>
      <c r="O702" s="251">
        <f t="shared" si="65"/>
        <v>0</v>
      </c>
      <c r="P702" s="252">
        <f t="shared" si="65"/>
        <v>0</v>
      </c>
      <c r="Q702" s="670" t="s">
        <v>177</v>
      </c>
      <c r="R702" s="253" t="s">
        <v>178</v>
      </c>
      <c r="S702" s="235">
        <v>0</v>
      </c>
      <c r="T702" s="647" t="s">
        <v>179</v>
      </c>
      <c r="U702" s="648"/>
    </row>
    <row r="703" spans="1:21" ht="57.75" customHeight="1" thickBot="1">
      <c r="A703" s="568"/>
      <c r="B703" s="254"/>
      <c r="C703" s="230"/>
      <c r="D703" s="177">
        <v>0.9</v>
      </c>
      <c r="E703" s="255">
        <f>IF(E701&gt;0,$U$1-E702,0)</f>
        <v>0</v>
      </c>
      <c r="F703" s="238">
        <f>IF(F704&gt;0,1,0)</f>
        <v>0</v>
      </c>
      <c r="G703" s="256" t="s">
        <v>180</v>
      </c>
      <c r="H703" s="257">
        <f>P682+L695-P711</f>
        <v>0</v>
      </c>
      <c r="I703" s="233">
        <f>L682+K694</f>
        <v>0</v>
      </c>
      <c r="J703" s="659"/>
      <c r="K703" s="244">
        <f>S687+K693+L693+O693+R693+O706+L709-N703</f>
        <v>0</v>
      </c>
      <c r="L703" s="244"/>
      <c r="M703" s="244">
        <f>G692+IF(G694&gt;0,G694,0)</f>
        <v>0</v>
      </c>
      <c r="N703" s="244">
        <f>L709-L711</f>
        <v>0</v>
      </c>
      <c r="O703" s="244"/>
      <c r="P703" s="258">
        <f>SUM(K703:O703)</f>
        <v>0</v>
      </c>
      <c r="Q703" s="671"/>
      <c r="R703" s="259" t="s">
        <v>181</v>
      </c>
      <c r="S703" s="235">
        <v>0</v>
      </c>
      <c r="T703" s="647" t="s">
        <v>182</v>
      </c>
      <c r="U703" s="648"/>
    </row>
    <row r="704" spans="1:21" ht="45.75" customHeight="1" thickBot="1" thickTop="1">
      <c r="A704" s="569"/>
      <c r="B704" s="244">
        <f>IF(B703=0,ROUND(IF(B702&gt;0,CEILING((B702/G686),0.01),B703),2),B703)</f>
        <v>0</v>
      </c>
      <c r="C704" s="244">
        <f>IF(T683&gt;0,(IF(C701&gt;0,ROUND(((C701-(C701*(B707+C707+D707)))/30),2),0)+IF(C703&gt;0,ROUND((C703/30),2),0))+(IF(IF(C701&gt;0,ROUND(((C701-(C701*(B707+C707+D707)))/30),2),0)+IF(C703&gt;0,ROUND((C703/30),2),0)&lt;ROUND((($F$1*B711)/30),2),(IF(C701+C703&gt;0,ROUND((($F$1*B711)/30),2)-(IF(C701&gt;0,ROUND(((C701-(C701*(B707+C707+D707)))/30),2),0)+IF(C703&gt;0,ROUND((C703/30),2),0)))),0)),0)</f>
        <v>0</v>
      </c>
      <c r="D704" s="244"/>
      <c r="E704" s="244">
        <f>IF(E703&gt;0,IF(ROUND(E701-((E701/30)*E702),2)-H706+O706&gt;0,ROUND(E701-((E701/30)*E702),2)-H706+O706,0),0)</f>
        <v>0</v>
      </c>
      <c r="F704" s="137"/>
      <c r="G704" s="139"/>
      <c r="H704" s="672" t="s">
        <v>183</v>
      </c>
      <c r="I704" s="673"/>
      <c r="J704" s="673"/>
      <c r="K704" s="673"/>
      <c r="L704" s="673"/>
      <c r="M704" s="674" t="s">
        <v>184</v>
      </c>
      <c r="N704" s="675"/>
      <c r="O704" s="260" t="s">
        <v>185</v>
      </c>
      <c r="P704" s="261" t="s">
        <v>186</v>
      </c>
      <c r="Q704" s="676" t="s">
        <v>187</v>
      </c>
      <c r="R704" s="677"/>
      <c r="S704" s="262">
        <f>ROUND((IF(S701-S702&gt;=0,S701-S702,0)+S703),0.1)</f>
        <v>0</v>
      </c>
      <c r="T704" s="263" t="str">
        <f>L$8</f>
        <v>styczeń</v>
      </c>
      <c r="U704" s="264" t="str">
        <f>N$8</f>
        <v>2011 r.</v>
      </c>
    </row>
    <row r="705" spans="1:21" ht="69.75" customHeight="1" thickBot="1" thickTop="1">
      <c r="A705" s="568"/>
      <c r="B705" s="699" t="s">
        <v>188</v>
      </c>
      <c r="C705" s="700"/>
      <c r="D705" s="700"/>
      <c r="E705" s="701"/>
      <c r="F705" s="265" t="s">
        <v>189</v>
      </c>
      <c r="G705" s="266" t="s">
        <v>190</v>
      </c>
      <c r="H705" s="267" t="s">
        <v>191</v>
      </c>
      <c r="I705" s="268" t="s">
        <v>192</v>
      </c>
      <c r="J705" s="269" t="s">
        <v>193</v>
      </c>
      <c r="K705" s="238" t="s">
        <v>194</v>
      </c>
      <c r="L705" s="270" t="s">
        <v>195</v>
      </c>
      <c r="M705" s="198" t="s">
        <v>196</v>
      </c>
      <c r="N705" s="271" t="s">
        <v>197</v>
      </c>
      <c r="O705" s="294" t="s">
        <v>198</v>
      </c>
      <c r="P705" s="273" t="s">
        <v>199</v>
      </c>
      <c r="Q705" s="340" t="s">
        <v>200</v>
      </c>
      <c r="R705" s="275" t="s">
        <v>201</v>
      </c>
      <c r="S705" s="276">
        <f>IF(ROUND((P682-P711-C711),0.1)&gt;0,ROUND((P682-P711-C711),0.1),0)</f>
        <v>0</v>
      </c>
      <c r="T705" s="277"/>
      <c r="U705" s="278"/>
    </row>
    <row r="706" spans="1:21" ht="81" customHeight="1" thickTop="1">
      <c r="A706" s="568"/>
      <c r="B706" s="279" t="s">
        <v>202</v>
      </c>
      <c r="C706" s="279" t="s">
        <v>203</v>
      </c>
      <c r="D706" s="279" t="s">
        <v>204</v>
      </c>
      <c r="E706" s="279" t="s">
        <v>205</v>
      </c>
      <c r="F706" s="279" t="s">
        <v>206</v>
      </c>
      <c r="G706" s="280">
        <f>ROUND((H706*G708),2)</f>
        <v>0</v>
      </c>
      <c r="H706" s="281">
        <f>Q683+O693</f>
        <v>0</v>
      </c>
      <c r="I706" s="282">
        <f>Q683+O693</f>
        <v>0</v>
      </c>
      <c r="J706" s="282">
        <f>Q683+O693</f>
        <v>0</v>
      </c>
      <c r="K706" s="282">
        <f>Q683+O693</f>
        <v>0</v>
      </c>
      <c r="L706" s="283">
        <f>Q683+H693+I693-O706+O693</f>
        <v>0</v>
      </c>
      <c r="M706" s="284">
        <f>IF(D701&gt;0,IF(D701&lt;$U$1,ROUND((($E$1/$U$1)*D701),2),$E$1))+IF(K698&gt;0,K698,0)</f>
        <v>0</v>
      </c>
      <c r="N706" s="285">
        <f>M706</f>
        <v>0</v>
      </c>
      <c r="O706" s="286">
        <f>SUM(H709:J709)</f>
        <v>0</v>
      </c>
      <c r="P706" s="287">
        <f>IF(P707&gt;0,1,0)</f>
        <v>0</v>
      </c>
      <c r="Q706" s="288">
        <f>ROUND((H706-O693-P711+H693+I693)*$R$3,2)</f>
        <v>0</v>
      </c>
      <c r="R706" s="681" t="s">
        <v>207</v>
      </c>
      <c r="S706" s="683" t="s">
        <v>311</v>
      </c>
      <c r="T706" s="289"/>
      <c r="U706" s="278"/>
    </row>
    <row r="707" spans="1:21" ht="38.25" customHeight="1">
      <c r="A707" s="568"/>
      <c r="B707" s="158">
        <f>IF(H706&gt;0,B$2,0)</f>
        <v>0</v>
      </c>
      <c r="C707" s="158">
        <f>IF(I706&gt;0,H$4,0)</f>
        <v>0</v>
      </c>
      <c r="D707" s="158">
        <f>IF(J706&gt;0,F$2,0)</f>
        <v>0</v>
      </c>
      <c r="E707" s="158" t="s">
        <v>208</v>
      </c>
      <c r="F707" s="290" t="s">
        <v>209</v>
      </c>
      <c r="G707" s="291">
        <v>0</v>
      </c>
      <c r="H707" s="685" t="s">
        <v>210</v>
      </c>
      <c r="I707" s="686"/>
      <c r="J707" s="686"/>
      <c r="K707" s="686"/>
      <c r="L707" s="686"/>
      <c r="M707" s="292" t="s">
        <v>211</v>
      </c>
      <c r="N707" s="293" t="s">
        <v>212</v>
      </c>
      <c r="O707" s="294" t="s">
        <v>213</v>
      </c>
      <c r="P707" s="52">
        <f>IF(I706&lt;$E$1,IF(B711=1,IF(T688=0,ROUND((I706*$L$2),2),0),0),ROUND((I706*$L$2),2))</f>
        <v>0</v>
      </c>
      <c r="Q707" s="295" t="s">
        <v>214</v>
      </c>
      <c r="R707" s="682"/>
      <c r="S707" s="684"/>
      <c r="T707" s="289"/>
      <c r="U707" s="278"/>
    </row>
    <row r="708" spans="1:21" ht="42.75" customHeight="1" thickBot="1">
      <c r="A708" s="568"/>
      <c r="B708" s="158">
        <f>IF(H706&gt;0,B$2,0)</f>
        <v>0</v>
      </c>
      <c r="C708" s="158">
        <f>IF(I706&gt;0,D$2,0)</f>
        <v>0</v>
      </c>
      <c r="D708" s="158" t="s">
        <v>208</v>
      </c>
      <c r="E708" s="158">
        <f>IF(K706&gt;0,H$2,0)</f>
        <v>0</v>
      </c>
      <c r="F708" s="158">
        <f>IF(L706&gt;0,J$2,0)</f>
        <v>0</v>
      </c>
      <c r="G708" s="158">
        <f>IF(G707&gt;0,L$1,0)</f>
        <v>0</v>
      </c>
      <c r="H708" s="296" t="s">
        <v>215</v>
      </c>
      <c r="I708" s="297" t="s">
        <v>215</v>
      </c>
      <c r="J708" s="297" t="s">
        <v>215</v>
      </c>
      <c r="K708" s="298" t="s">
        <v>209</v>
      </c>
      <c r="L708" s="299" t="s">
        <v>215</v>
      </c>
      <c r="M708" s="300">
        <f>ROUND(M706*(B$2+B$2),2)</f>
        <v>0</v>
      </c>
      <c r="N708" s="301">
        <f>ROUND(N706*(D$2+H$4),2)</f>
        <v>0</v>
      </c>
      <c r="O708" s="302">
        <f>H711+I711+K711+G706</f>
        <v>0</v>
      </c>
      <c r="P708" s="303" t="s">
        <v>216</v>
      </c>
      <c r="Q708" s="304">
        <f>ROUND((L706*J$2),2)</f>
        <v>0</v>
      </c>
      <c r="R708" s="305" t="s">
        <v>217</v>
      </c>
      <c r="S708" s="684"/>
      <c r="T708" s="289"/>
      <c r="U708" s="278"/>
    </row>
    <row r="709" spans="1:21" ht="53.25" customHeight="1" thickBot="1" thickTop="1">
      <c r="A709" s="568"/>
      <c r="B709" s="141">
        <f>IF(B707+B708&gt;0,1,0)</f>
        <v>0</v>
      </c>
      <c r="C709" s="141">
        <f>IF(C707+C708&gt;0,1,0)</f>
        <v>0</v>
      </c>
      <c r="D709" s="141">
        <f>IF(D707&gt;0,1,0)</f>
        <v>0</v>
      </c>
      <c r="E709" s="141">
        <f>IF(E708&gt;0,1,0)</f>
        <v>0</v>
      </c>
      <c r="F709" s="141">
        <f>IF(F708&gt;0,1,0)</f>
        <v>0</v>
      </c>
      <c r="G709" s="141">
        <f>IF(G708&gt;0,1,0)</f>
        <v>0</v>
      </c>
      <c r="H709" s="306">
        <f>ROUND(H706*B707,2)</f>
        <v>0</v>
      </c>
      <c r="I709" s="307">
        <f>ROUND(I706*C707,2)</f>
        <v>0</v>
      </c>
      <c r="J709" s="307">
        <f>ROUND(J706*D707,2)</f>
        <v>0</v>
      </c>
      <c r="K709" s="244" t="s">
        <v>209</v>
      </c>
      <c r="L709" s="307">
        <f>IF(S700&gt;=ROUND(L706*F708,2),ROUND(L706*F708,2),S700)</f>
        <v>0</v>
      </c>
      <c r="M709" s="687" t="s">
        <v>218</v>
      </c>
      <c r="N709" s="688"/>
      <c r="O709" s="689" t="s">
        <v>219</v>
      </c>
      <c r="P709" s="308">
        <f>IF(P710&gt;0,1,0)</f>
        <v>0</v>
      </c>
      <c r="Q709" s="309" t="s">
        <v>220</v>
      </c>
      <c r="R709" s="310">
        <f>IF(B686=G686,H687+I687+J687+L687+O687+R687+IF(K687&gt;0,ROUND((K687/K685),2),0),0)+IF(B686&lt;G686,IF(B686&gt;0,ROUND((((H687+J687)/B686)*(G686-B699)),2)+IF(K687&gt;0,ROUND((K687/K685),2),0)+I687+L687+O687+R687,0),0)</f>
        <v>0</v>
      </c>
      <c r="S709" s="235">
        <f>IF(S701-S702&lt;0,S702-S701,0)</f>
        <v>0</v>
      </c>
      <c r="T709" s="289"/>
      <c r="U709" s="278"/>
    </row>
    <row r="710" spans="1:22" ht="63" customHeight="1" thickBot="1" thickTop="1">
      <c r="A710" s="568"/>
      <c r="B710" s="311" t="s">
        <v>221</v>
      </c>
      <c r="C710" s="311" t="s">
        <v>222</v>
      </c>
      <c r="D710" s="311" t="s">
        <v>34</v>
      </c>
      <c r="E710" s="146" t="s">
        <v>223</v>
      </c>
      <c r="F710" s="312" t="s">
        <v>224</v>
      </c>
      <c r="G710" s="139">
        <f>IF(Q706&gt;Q700,Q706-Q700,0)</f>
        <v>0</v>
      </c>
      <c r="H710" s="313" t="s">
        <v>225</v>
      </c>
      <c r="I710" s="314" t="s">
        <v>225</v>
      </c>
      <c r="J710" s="298" t="s">
        <v>209</v>
      </c>
      <c r="K710" s="315" t="s">
        <v>225</v>
      </c>
      <c r="L710" s="316" t="s">
        <v>226</v>
      </c>
      <c r="M710" s="317" t="s">
        <v>227</v>
      </c>
      <c r="N710" s="318" t="s">
        <v>228</v>
      </c>
      <c r="O710" s="690"/>
      <c r="P710" s="319">
        <f>ROUND(N$2*H706,2)</f>
        <v>0</v>
      </c>
      <c r="Q710" s="320">
        <f>IF(D701&gt;0,$U$2,0)</f>
        <v>0</v>
      </c>
      <c r="R710" s="321" t="s">
        <v>229</v>
      </c>
      <c r="S710" s="322" t="s">
        <v>230</v>
      </c>
      <c r="T710" s="691" t="s">
        <v>231</v>
      </c>
      <c r="U710" s="702"/>
      <c r="V710" s="323">
        <f>IF(ISBLANK(AM682),0,IF(IF(AF697&gt;=AI$2,AI$2,AF697)&gt;0,IF(AF697&gt;=AI$2,AI$2,AF697),0))</f>
        <v>0</v>
      </c>
    </row>
    <row r="711" spans="1:22" ht="42" customHeight="1" thickBot="1" thickTop="1">
      <c r="A711" s="570"/>
      <c r="B711" s="324">
        <f>IF(ISBLANK(T683),0,1)</f>
        <v>0</v>
      </c>
      <c r="C711" s="324">
        <f>IF(ISBLANK(T683),0,IF(IF(M698&gt;=P$2,P$2,M698)&gt;0,IF(M698&gt;=P$2,P$2,M698),0))</f>
        <v>0</v>
      </c>
      <c r="D711" s="324">
        <f>IF(ISBLANK(T683),0,S$1)</f>
        <v>0</v>
      </c>
      <c r="E711" s="325">
        <f>IF(G686&gt;0,$N$3,0)</f>
        <v>0</v>
      </c>
      <c r="F711" s="326">
        <f>O706+O708+P707+P710+L709+S704</f>
        <v>0</v>
      </c>
      <c r="G711" s="327">
        <f>IF(G710&gt;0,1,0)</f>
        <v>0</v>
      </c>
      <c r="H711" s="328">
        <f>ROUND(H706*B707,2)</f>
        <v>0</v>
      </c>
      <c r="I711" s="329">
        <f>ROUND(I706*C708,2)</f>
        <v>0</v>
      </c>
      <c r="J711" s="182" t="s">
        <v>209</v>
      </c>
      <c r="K711" s="330">
        <f>ROUND(K706*E708,2)</f>
        <v>0</v>
      </c>
      <c r="L711" s="185">
        <f>IF(S700&gt;=ROUND((H706-O693-P711+H693+I693)*$R$3,2),ROUND((H706-O693-P711+H693+I693)*$R$3,2),S700)</f>
        <v>0</v>
      </c>
      <c r="M711" s="179">
        <f>O706+O708</f>
        <v>0</v>
      </c>
      <c r="N711" s="331">
        <f>M711+L709</f>
        <v>0</v>
      </c>
      <c r="O711" s="332">
        <f>SUM(M708:N708)</f>
        <v>0</v>
      </c>
      <c r="P711" s="333">
        <f>ROUND(Q683*B707,2)+ROUND(Q683*C707,2)+ROUND(Q683*D707,2)</f>
        <v>0</v>
      </c>
      <c r="Q711" s="334">
        <f>IF(D701&gt;0,ROUND(($U$2*J$2),2),0)</f>
        <v>0</v>
      </c>
      <c r="R711" s="335">
        <f>IF(B686&gt;=G686/2,IF(B686=G686,H687+I687+J687+L687+O687+P687+R687+IF(K687&gt;0,ROUND((K687/K685),2),0),ROUND((((H687+J687+L687)/B686)*(G686-B699)),2)+IF(K687&gt;0,ROUND((K687/K685),2),0)+I687+O687+P687+R687),0)</f>
        <v>0</v>
      </c>
      <c r="S711" s="336">
        <f>IF(P682-O706-S704-L709&gt;0,P682-O706-S704-L709,0)</f>
        <v>0</v>
      </c>
      <c r="T711" s="693" t="s">
        <v>232</v>
      </c>
      <c r="U711" s="703"/>
      <c r="V711" s="323">
        <f>IF(ISBLANK(AM683),0,IF(IF(AF698&gt;=AJ$2,AJ$2,AF698)&gt;0,IF(AF698&gt;=AJ$2,AJ$2,AF698),0))</f>
        <v>0</v>
      </c>
    </row>
    <row r="712" ht="24" customHeight="1" thickTop="1"/>
    <row r="713" spans="1:23" ht="33" customHeight="1" thickBot="1">
      <c r="A713" s="111" t="s">
        <v>72</v>
      </c>
      <c r="B713" s="112" t="s">
        <v>73</v>
      </c>
      <c r="C713" s="113"/>
      <c r="D713" s="113"/>
      <c r="E713" s="114"/>
      <c r="F713" s="553" t="s">
        <v>74</v>
      </c>
      <c r="G713" s="555" t="s">
        <v>75</v>
      </c>
      <c r="H713" s="557" t="s">
        <v>76</v>
      </c>
      <c r="I713" s="557"/>
      <c r="J713" s="558"/>
      <c r="K713" s="559"/>
      <c r="L713" s="560"/>
      <c r="M713" s="560"/>
      <c r="N713" s="560"/>
      <c r="O713" s="561"/>
      <c r="P713" s="559"/>
      <c r="Q713" s="560"/>
      <c r="R713" s="560"/>
      <c r="S713" s="560"/>
      <c r="T713" s="565" t="s">
        <v>77</v>
      </c>
      <c r="U713" s="566"/>
      <c r="V713" s="102"/>
      <c r="W713" s="115"/>
    </row>
    <row r="714" spans="1:23" ht="44.25" customHeight="1" thickBot="1" thickTop="1">
      <c r="A714" s="567">
        <f>A682+1</f>
        <v>23</v>
      </c>
      <c r="B714" s="571" t="s">
        <v>79</v>
      </c>
      <c r="C714" s="571" t="s">
        <v>80</v>
      </c>
      <c r="D714" s="573" t="s">
        <v>81</v>
      </c>
      <c r="E714" s="573"/>
      <c r="F714" s="554"/>
      <c r="G714" s="556"/>
      <c r="H714" s="574" t="s">
        <v>82</v>
      </c>
      <c r="I714" s="574"/>
      <c r="J714" s="574"/>
      <c r="K714" s="574"/>
      <c r="L714" s="575">
        <f>P714+S720</f>
        <v>0</v>
      </c>
      <c r="M714" s="576"/>
      <c r="N714" s="577" t="s">
        <v>83</v>
      </c>
      <c r="O714" s="578"/>
      <c r="P714" s="575">
        <f>Q715+M720</f>
        <v>0</v>
      </c>
      <c r="Q714" s="576"/>
      <c r="R714" s="119"/>
      <c r="S714" s="120"/>
      <c r="T714" s="121"/>
      <c r="U714" s="122"/>
      <c r="V714" s="102"/>
      <c r="W714" s="115"/>
    </row>
    <row r="715" spans="1:23" ht="36.75" customHeight="1">
      <c r="A715" s="568"/>
      <c r="B715" s="572"/>
      <c r="C715" s="572"/>
      <c r="D715" s="124" t="s">
        <v>85</v>
      </c>
      <c r="E715" s="124" t="s">
        <v>86</v>
      </c>
      <c r="F715" s="554"/>
      <c r="G715" s="556"/>
      <c r="H715" s="562" t="s">
        <v>87</v>
      </c>
      <c r="I715" s="563"/>
      <c r="J715" s="563"/>
      <c r="K715" s="563"/>
      <c r="L715" s="563"/>
      <c r="M715" s="563"/>
      <c r="N715" s="563"/>
      <c r="O715" s="563"/>
      <c r="P715" s="564"/>
      <c r="Q715" s="579">
        <f>SUM(H719:S719)</f>
        <v>0</v>
      </c>
      <c r="R715" s="580"/>
      <c r="S715" s="125"/>
      <c r="T715" s="581"/>
      <c r="U715" s="582"/>
      <c r="V715" s="102"/>
      <c r="W715" s="115"/>
    </row>
    <row r="716" spans="1:23" ht="38.25" customHeight="1">
      <c r="A716" s="568"/>
      <c r="B716" s="572"/>
      <c r="C716" s="126"/>
      <c r="D716" s="124" t="s">
        <v>89</v>
      </c>
      <c r="E716" s="124" t="s">
        <v>89</v>
      </c>
      <c r="F716" s="554"/>
      <c r="G716" s="127"/>
      <c r="H716" s="128" t="s">
        <v>90</v>
      </c>
      <c r="I716" s="129" t="s">
        <v>91</v>
      </c>
      <c r="J716" s="129" t="s">
        <v>92</v>
      </c>
      <c r="K716" s="130" t="s">
        <v>93</v>
      </c>
      <c r="L716" s="583" t="s">
        <v>94</v>
      </c>
      <c r="M716" s="583" t="s">
        <v>95</v>
      </c>
      <c r="N716" s="583" t="s">
        <v>96</v>
      </c>
      <c r="O716" s="585" t="s">
        <v>97</v>
      </c>
      <c r="P716" s="583" t="s">
        <v>98</v>
      </c>
      <c r="Q716" s="587" t="s">
        <v>99</v>
      </c>
      <c r="R716" s="589" t="s">
        <v>100</v>
      </c>
      <c r="S716" s="591" t="s">
        <v>101</v>
      </c>
      <c r="T716" s="581"/>
      <c r="U716" s="582"/>
      <c r="V716" s="102"/>
      <c r="W716" s="115"/>
    </row>
    <row r="717" spans="1:23" ht="30" customHeight="1">
      <c r="A717" s="568"/>
      <c r="B717" s="572"/>
      <c r="C717" s="131"/>
      <c r="D717" s="131"/>
      <c r="E717" s="131"/>
      <c r="F717" s="554"/>
      <c r="G717" s="127"/>
      <c r="H717" s="132" t="s">
        <v>103</v>
      </c>
      <c r="I717" s="133" t="s">
        <v>104</v>
      </c>
      <c r="J717" s="134">
        <v>0</v>
      </c>
      <c r="K717" s="135">
        <v>1</v>
      </c>
      <c r="L717" s="584"/>
      <c r="M717" s="584"/>
      <c r="N717" s="584"/>
      <c r="O717" s="586"/>
      <c r="P717" s="584"/>
      <c r="Q717" s="588"/>
      <c r="R717" s="590"/>
      <c r="S717" s="592"/>
      <c r="T717" s="581"/>
      <c r="U717" s="582"/>
      <c r="V717" s="102"/>
      <c r="W717" s="115"/>
    </row>
    <row r="718" spans="1:21" ht="51" customHeight="1">
      <c r="A718" s="568"/>
      <c r="B718" s="137">
        <f>G718</f>
        <v>0</v>
      </c>
      <c r="C718" s="137"/>
      <c r="D718" s="137"/>
      <c r="E718" s="138"/>
      <c r="F718" s="138"/>
      <c r="G718" s="139">
        <f>B$1*B743</f>
        <v>0</v>
      </c>
      <c r="H718" s="140">
        <f aca="true" t="shared" si="66" ref="H718:S718">IF(H719&gt;0,1,0)</f>
        <v>0</v>
      </c>
      <c r="I718" s="141">
        <f t="shared" si="66"/>
        <v>0</v>
      </c>
      <c r="J718" s="141">
        <f t="shared" si="66"/>
        <v>0</v>
      </c>
      <c r="K718" s="142">
        <f t="shared" si="66"/>
        <v>0</v>
      </c>
      <c r="L718" s="142">
        <f t="shared" si="66"/>
        <v>0</v>
      </c>
      <c r="M718" s="142">
        <f t="shared" si="66"/>
        <v>0</v>
      </c>
      <c r="N718" s="142">
        <f t="shared" si="66"/>
        <v>0</v>
      </c>
      <c r="O718" s="141">
        <f t="shared" si="66"/>
        <v>0</v>
      </c>
      <c r="P718" s="142">
        <f t="shared" si="66"/>
        <v>0</v>
      </c>
      <c r="Q718" s="142">
        <f t="shared" si="66"/>
        <v>0</v>
      </c>
      <c r="R718" s="143">
        <f t="shared" si="66"/>
        <v>0</v>
      </c>
      <c r="S718" s="144">
        <f t="shared" si="66"/>
        <v>0</v>
      </c>
      <c r="T718" s="593"/>
      <c r="U718" s="594"/>
    </row>
    <row r="719" spans="1:22" ht="49.5" customHeight="1" thickBot="1">
      <c r="A719" s="568"/>
      <c r="B719" s="595" t="s">
        <v>106</v>
      </c>
      <c r="C719" s="595" t="s">
        <v>107</v>
      </c>
      <c r="D719" s="596" t="s">
        <v>108</v>
      </c>
      <c r="E719" s="148" t="s">
        <v>109</v>
      </c>
      <c r="F719" s="149"/>
      <c r="G719" s="597" t="s">
        <v>110</v>
      </c>
      <c r="H719" s="150">
        <f>IF(B718+B722+B729+B731+C728+D722+F719&gt;0,IF(B734&gt;0,B734-(IF(E722+F722+G722+B726+C726+D726+E726+F726&gt;0,ROUND((B734/30)*IF(E722+F722+G722+B726+C726+D726+E726+F726&lt;31,E722+F722+G722+B726+C726+D726+E726+F726,30),2),0)+ROUND(((B734/G718)*(B722+B729+B731+C728+D722)),2)),0),0)+IF(B718&gt;G718,IF(B734&gt;0,(B718-G718)*B736,0),0)+IF(B735&gt;0,B735*B718,0)-IF(IF(B718+B722+B729+B731+C728+D722+F719&gt;0,IF(B734&gt;0,B734-(IF(E722+F722+G722+B726+C726+D726+E726+F726&gt;0,ROUND((B734/30)*IF(E722+F722+G722+B726+C726+D726+E726+F726&lt;31,E722+F722+G722+B726+C726+D726+E726+F726,30),2),0)+ROUND(((B734/G718)*(B722+B729+B731+C728+D722)),2)),0),0)&lt;0,IF(B718+B722+B729+B731+C728+D722+F719&gt;0,IF(B734&gt;0,B734-(IF(E722+F722+G722+B726+C726+D726+E726+F726&gt;0,ROUND((B734/30)*IF(E722+F722+G722+B726+C726+D726+E726+F726&lt;31,E722+F722+G722+B726+C726+D726+E726+F726,30),2),0)+ROUND(((B734/G718)*(B722+B729+B731+C728+D722)),2)),0),0),0)</f>
        <v>0</v>
      </c>
      <c r="I719" s="151">
        <f>ROUND(D718*ROUND(B736*150%,2)+E718*ROUND(B736*200%,2),2)</f>
        <v>0</v>
      </c>
      <c r="J719" s="151">
        <f>ROUND((J717*H719),2)</f>
        <v>0</v>
      </c>
      <c r="K719" s="151"/>
      <c r="L719" s="151">
        <f>IF(C718&gt;0,C718*ROUND(B736*U$3,2),0)+IF(U$3=0,IF(C718&gt;0,C718*ROUND(20%*ROUND(E$1/G718,2),2),0))</f>
        <v>0</v>
      </c>
      <c r="M719" s="151">
        <f>IF(B722&gt;0,ROUND((B722*C731),2),0)</f>
        <v>0</v>
      </c>
      <c r="N719" s="151">
        <f>IF(B718+D718+E718+F718&gt;0,ROUND((((H719+I719+J719+L719+O719)/(B718+D718+E718+F718))*D722),2),B736*D722)</f>
        <v>0</v>
      </c>
      <c r="O719" s="151">
        <f>ROUND((F718*B736),2)</f>
        <v>0</v>
      </c>
      <c r="P719" s="151">
        <f>IF(C722&gt;0,ROUND((D731/($I$1*8*B743)),2)*C722,0)</f>
        <v>0</v>
      </c>
      <c r="Q719" s="151"/>
      <c r="R719" s="152"/>
      <c r="S719" s="153">
        <f>IF(G736&gt;500,G736-500,0)+IF(F736&gt;190,F736-190,0)</f>
        <v>0</v>
      </c>
      <c r="T719" s="593"/>
      <c r="U719" s="594"/>
      <c r="V719" s="154"/>
    </row>
    <row r="720" spans="1:21" ht="57" customHeight="1">
      <c r="A720" s="568"/>
      <c r="B720" s="554"/>
      <c r="C720" s="554"/>
      <c r="D720" s="554"/>
      <c r="E720" s="599" t="s">
        <v>112</v>
      </c>
      <c r="F720" s="599"/>
      <c r="G720" s="598"/>
      <c r="H720" s="600" t="s">
        <v>113</v>
      </c>
      <c r="I720" s="601"/>
      <c r="J720" s="601"/>
      <c r="K720" s="601"/>
      <c r="L720" s="601"/>
      <c r="M720" s="602">
        <f>H725+I725+M721</f>
        <v>0</v>
      </c>
      <c r="N720" s="603"/>
      <c r="O720" s="604" t="s">
        <v>114</v>
      </c>
      <c r="P720" s="604"/>
      <c r="Q720" s="604"/>
      <c r="R720" s="604"/>
      <c r="S720" s="156">
        <f>S721+O725</f>
        <v>0</v>
      </c>
      <c r="T720" s="605"/>
      <c r="U720" s="606"/>
    </row>
    <row r="721" spans="1:21" ht="38.25" customHeight="1">
      <c r="A721" s="568"/>
      <c r="B721" s="157"/>
      <c r="C721" s="131"/>
      <c r="D721" s="131"/>
      <c r="E721" s="158">
        <v>0.8</v>
      </c>
      <c r="F721" s="158">
        <v>1</v>
      </c>
      <c r="G721" s="159">
        <v>0.8</v>
      </c>
      <c r="H721" s="607" t="s">
        <v>115</v>
      </c>
      <c r="I721" s="608"/>
      <c r="J721" s="609" t="s">
        <v>116</v>
      </c>
      <c r="K721" s="610"/>
      <c r="L721" s="610"/>
      <c r="M721" s="611">
        <f>SUM(J725:N725)</f>
        <v>0</v>
      </c>
      <c r="N721" s="612"/>
      <c r="O721" s="160" t="s">
        <v>117</v>
      </c>
      <c r="P721" s="613" t="s">
        <v>118</v>
      </c>
      <c r="Q721" s="614"/>
      <c r="R721" s="615"/>
      <c r="S721" s="161">
        <f>SUM(P725:S725)</f>
        <v>0</v>
      </c>
      <c r="T721" s="616"/>
      <c r="U721" s="617"/>
    </row>
    <row r="722" spans="1:21" ht="40.5" customHeight="1">
      <c r="A722" s="568"/>
      <c r="B722" s="137"/>
      <c r="C722" s="137"/>
      <c r="D722" s="137"/>
      <c r="E722" s="137"/>
      <c r="F722" s="137"/>
      <c r="G722" s="139"/>
      <c r="H722" s="618" t="s">
        <v>119</v>
      </c>
      <c r="I722" s="162"/>
      <c r="J722" s="620" t="s">
        <v>120</v>
      </c>
      <c r="K722" s="595" t="s">
        <v>121</v>
      </c>
      <c r="L722" s="595" t="s">
        <v>122</v>
      </c>
      <c r="M722" s="595" t="s">
        <v>123</v>
      </c>
      <c r="N722" s="163" t="s">
        <v>124</v>
      </c>
      <c r="O722" s="622" t="s">
        <v>125</v>
      </c>
      <c r="P722" s="624" t="s">
        <v>126</v>
      </c>
      <c r="Q722" s="584" t="s">
        <v>127</v>
      </c>
      <c r="R722" s="634" t="s">
        <v>128</v>
      </c>
      <c r="S722" s="633" t="s">
        <v>129</v>
      </c>
      <c r="T722" s="164"/>
      <c r="U722" s="165"/>
    </row>
    <row r="723" spans="1:21" ht="39.75" customHeight="1">
      <c r="A723" s="568"/>
      <c r="B723" s="571" t="s">
        <v>110</v>
      </c>
      <c r="C723" s="571" t="s">
        <v>130</v>
      </c>
      <c r="D723" s="571" t="s">
        <v>131</v>
      </c>
      <c r="E723" s="571" t="s">
        <v>132</v>
      </c>
      <c r="F723" s="571" t="s">
        <v>110</v>
      </c>
      <c r="G723" s="166" t="s">
        <v>133</v>
      </c>
      <c r="H723" s="619"/>
      <c r="I723" s="167"/>
      <c r="J723" s="621"/>
      <c r="K723" s="554"/>
      <c r="L723" s="554"/>
      <c r="M723" s="554"/>
      <c r="N723" s="168" t="s">
        <v>134</v>
      </c>
      <c r="O723" s="623"/>
      <c r="P723" s="624"/>
      <c r="Q723" s="584"/>
      <c r="R723" s="634"/>
      <c r="S723" s="633"/>
      <c r="T723" s="627">
        <f>I735-S736-P735</f>
        <v>0</v>
      </c>
      <c r="U723" s="628"/>
    </row>
    <row r="724" spans="1:21" ht="35.25" customHeight="1">
      <c r="A724" s="568"/>
      <c r="B724" s="572"/>
      <c r="C724" s="572"/>
      <c r="D724" s="572"/>
      <c r="E724" s="572"/>
      <c r="F724" s="572"/>
      <c r="G724" s="139"/>
      <c r="H724" s="169">
        <f aca="true" t="shared" si="67" ref="H724:M724">IF(H725&gt;0,1,0)</f>
        <v>0</v>
      </c>
      <c r="I724" s="170">
        <f t="shared" si="67"/>
        <v>0</v>
      </c>
      <c r="J724" s="171">
        <f t="shared" si="67"/>
        <v>0</v>
      </c>
      <c r="K724" s="172">
        <f t="shared" si="67"/>
        <v>0</v>
      </c>
      <c r="L724" s="173">
        <f t="shared" si="67"/>
        <v>0</v>
      </c>
      <c r="M724" s="173">
        <f t="shared" si="67"/>
        <v>0</v>
      </c>
      <c r="N724" s="174">
        <v>0</v>
      </c>
      <c r="O724" s="175">
        <f>IF(O725&gt;0,1,0)</f>
        <v>0</v>
      </c>
      <c r="P724" s="171">
        <f>IF(P725&gt;0,1,0)</f>
        <v>0</v>
      </c>
      <c r="Q724" s="173">
        <f>IF(Q725&gt;0,1,0)</f>
        <v>0</v>
      </c>
      <c r="R724" s="173">
        <f>IF(R725&gt;0,1,0)</f>
        <v>0</v>
      </c>
      <c r="S724" s="176">
        <f>IF(S725&gt;0,1,0)</f>
        <v>0</v>
      </c>
      <c r="T724" s="627"/>
      <c r="U724" s="628"/>
    </row>
    <row r="725" spans="1:21" ht="36" customHeight="1" thickBot="1">
      <c r="A725" s="568"/>
      <c r="B725" s="177">
        <v>1</v>
      </c>
      <c r="C725" s="177">
        <v>0.8</v>
      </c>
      <c r="D725" s="572"/>
      <c r="E725" s="572"/>
      <c r="F725" s="177">
        <v>0.7</v>
      </c>
      <c r="G725" s="178">
        <v>0</v>
      </c>
      <c r="H725" s="179">
        <f>IF(E722&gt;0,ROUND((C736*E721),2)*E722,0)+IF(F722&gt;0,C736*F722,0)</f>
        <v>0</v>
      </c>
      <c r="I725" s="180"/>
      <c r="J725" s="181">
        <f>IF(G718&gt;0,IF(B718&gt;=G718,E731-((E731/22)*F731),(E731-(ROUND(((E731/22)*(((G718-B718)/8*B743)+F731)),2))))-IF(B718=0,0,0)-IF(B718&lt;=F731*8*B743,E731-ROUND(((E731/22)*(((G718-B718)/8*B743)+F731)),2),0),0)</f>
        <v>0</v>
      </c>
      <c r="K725" s="182">
        <f>G734-R725</f>
        <v>0</v>
      </c>
      <c r="L725" s="182">
        <f>IF(F736&gt;0,IF(F736&lt;190,F736,190),0)</f>
        <v>0</v>
      </c>
      <c r="M725" s="182"/>
      <c r="N725" s="183">
        <f>IF(N724&gt;0,L$3*B743*N724,0)</f>
        <v>0</v>
      </c>
      <c r="O725" s="184">
        <f>IF(C743&lt;=$P$2,IF(G736&gt;0,IF(G736&lt;500,G736,500),0),0)</f>
        <v>0</v>
      </c>
      <c r="P725" s="181">
        <f>IF(G731&gt;0,ROUND(((G731/G718)*B718),2),0)+G730</f>
        <v>0</v>
      </c>
      <c r="Q725" s="182">
        <f>IF(F729&gt;0,ROUND((F729/G718)*B718,2),0)</f>
        <v>0</v>
      </c>
      <c r="R725" s="182">
        <f>IF(G734&gt;0,IF(G734&lt;380,G734,380),0)</f>
        <v>0</v>
      </c>
      <c r="S725" s="185"/>
      <c r="T725" s="627"/>
      <c r="U725" s="628"/>
    </row>
    <row r="726" spans="1:21" ht="60" customHeight="1" thickBot="1" thickTop="1">
      <c r="A726" s="568"/>
      <c r="B726" s="137"/>
      <c r="C726" s="137"/>
      <c r="D726" s="137"/>
      <c r="E726" s="137"/>
      <c r="F726" s="137"/>
      <c r="G726" s="139">
        <f>IF(L714+L727-Q725-P725-K735-J725&gt;$F$1,IF(G725&gt;0,IF(((H735-S736-L741-L735-J725-K725-L725-O738+P743)*(100%-G725))&gt;=(($F$1*B743)-IF(ROUND(((ROUND(($F$1-C743),0.1)*E743)-D743),0.1)&gt;0,ROUND(((ROUND(($F$1-C743),0.1)*E743)-D743),0.1),0)),((H735-S736-L741-L735-J725-K725-L725-O738+P743)*G725)))+IF(G725&gt;0,IF(((H735-S736-L741-L735-J725-K725-L725-O738+P743)*(100%-G725))&lt;(($F$1*B743)-IF(ROUND(((ROUND(($F$1-C743),0.1)*E743)-D743),0.1)&gt;0,ROUND(((ROUND(($F$1-C743),0.1)*E743)-D743),0.1),0)),(H735-S736-L741-L735-J725-K725-L725-O738+P743)-(($F$1*B743)-IF(ROUND(((ROUND(($F$1-C743),0.1)*E743)-D743),0.1)&gt;0,ROUND(((ROUND(($F$1-C743),0.1)*E743)-D743),0.1),0)))),0)</f>
        <v>0</v>
      </c>
      <c r="H726" s="629" t="s">
        <v>135</v>
      </c>
      <c r="I726" s="630"/>
      <c r="J726" s="630"/>
      <c r="K726" s="575">
        <f>L727+P726</f>
        <v>0</v>
      </c>
      <c r="L726" s="576"/>
      <c r="M726" s="631" t="s">
        <v>136</v>
      </c>
      <c r="N726" s="632"/>
      <c r="O726" s="632"/>
      <c r="P726" s="575">
        <f>P727+S727</f>
        <v>0</v>
      </c>
      <c r="Q726" s="575"/>
      <c r="R726" s="186"/>
      <c r="S726" s="186"/>
      <c r="T726" s="187">
        <v>200</v>
      </c>
      <c r="U726" s="188">
        <f>ROUND(((1400/'[1]Li-pł zlec'!$V$1)*'[1]LI-PŁ-prac'!T726),2)+((H725+L727)-ROUND(((H725+L727)*$N$3),2))+O728+P728+P730+R730+S730-O735-L735-M735</f>
        <v>1750</v>
      </c>
    </row>
    <row r="727" spans="1:21" ht="119.25" customHeight="1">
      <c r="A727" s="568"/>
      <c r="B727" s="189" t="s">
        <v>137</v>
      </c>
      <c r="C727" s="190" t="s">
        <v>138</v>
      </c>
      <c r="D727" s="595" t="s">
        <v>139</v>
      </c>
      <c r="E727" s="649" t="s">
        <v>307</v>
      </c>
      <c r="F727" s="191" t="s">
        <v>140</v>
      </c>
      <c r="G727" s="192" t="s">
        <v>141</v>
      </c>
      <c r="H727" s="651" t="s">
        <v>142</v>
      </c>
      <c r="I727" s="652"/>
      <c r="J727" s="652"/>
      <c r="K727" s="652"/>
      <c r="L727" s="193">
        <f>SUM(H730:L730)</f>
        <v>0</v>
      </c>
      <c r="M727" s="625"/>
      <c r="N727" s="626"/>
      <c r="O727" s="626"/>
      <c r="P727" s="193"/>
      <c r="Q727" s="635"/>
      <c r="R727" s="636"/>
      <c r="S727" s="194"/>
      <c r="T727" s="637"/>
      <c r="U727" s="638"/>
    </row>
    <row r="728" spans="1:21" ht="141" customHeight="1" thickBot="1">
      <c r="A728" s="568"/>
      <c r="B728" s="195" t="s">
        <v>143</v>
      </c>
      <c r="C728" s="196"/>
      <c r="D728" s="554"/>
      <c r="E728" s="650"/>
      <c r="F728" s="197">
        <f>IF(F729&gt;0,1,0)</f>
        <v>0</v>
      </c>
      <c r="G728" s="155" t="s">
        <v>308</v>
      </c>
      <c r="H728" s="198" t="s">
        <v>144</v>
      </c>
      <c r="I728" s="199" t="s">
        <v>145</v>
      </c>
      <c r="J728" s="199" t="s">
        <v>146</v>
      </c>
      <c r="K728" s="199" t="s">
        <v>147</v>
      </c>
      <c r="L728" s="200" t="s">
        <v>148</v>
      </c>
      <c r="M728" s="201"/>
      <c r="N728" s="202"/>
      <c r="O728" s="203"/>
      <c r="P728" s="204"/>
      <c r="Q728" s="205"/>
      <c r="R728" s="206"/>
      <c r="S728" s="207"/>
      <c r="T728" s="637"/>
      <c r="U728" s="638"/>
    </row>
    <row r="729" spans="1:21" ht="51.75" customHeight="1">
      <c r="A729" s="568"/>
      <c r="B729" s="208"/>
      <c r="C729" s="595" t="s">
        <v>149</v>
      </c>
      <c r="D729" s="554"/>
      <c r="E729" s="209"/>
      <c r="F729" s="210">
        <f>IF(T715&gt;0,$H$3,0)</f>
        <v>0</v>
      </c>
      <c r="G729" s="211">
        <f>IF(G730+G731&gt;0,1,0)</f>
        <v>0</v>
      </c>
      <c r="H729" s="212">
        <f>IF(H730&gt;0,1,0)</f>
        <v>0</v>
      </c>
      <c r="I729" s="213">
        <f>IF(I730&gt;0,1,0)</f>
        <v>0</v>
      </c>
      <c r="J729" s="213">
        <f>IF(J730&gt;0,1,0)</f>
        <v>0</v>
      </c>
      <c r="K729" s="213">
        <f>IF(K730&gt;0,1,0)</f>
        <v>0</v>
      </c>
      <c r="L729" s="214">
        <f>IF(L730&gt;0,1,0)</f>
        <v>0</v>
      </c>
      <c r="M729" s="639" t="s">
        <v>150</v>
      </c>
      <c r="N729" s="640"/>
      <c r="O729" s="641"/>
      <c r="P729" s="642"/>
      <c r="Q729" s="215"/>
      <c r="R729" s="216"/>
      <c r="S729" s="217"/>
      <c r="T729" s="643"/>
      <c r="U729" s="644"/>
    </row>
    <row r="730" spans="1:21" ht="60.75" customHeight="1" thickBot="1">
      <c r="A730" s="568"/>
      <c r="B730" s="218" t="s">
        <v>151</v>
      </c>
      <c r="C730" s="554"/>
      <c r="D730" s="131"/>
      <c r="E730" s="219">
        <f>IF(E729&gt;0,C$3,0)</f>
        <v>0</v>
      </c>
      <c r="F730" s="220" t="s">
        <v>152</v>
      </c>
      <c r="G730" s="221"/>
      <c r="H730" s="179">
        <f>IF(G722&gt;0,(ROUND((C736*G721),2)*G722),0)+IF(B726&gt;0,(ROUND((C736*B725),2)*B726),0)+IF(F726&gt;0,(ROUND((C736*F725),2)*F726),0)</f>
        <v>0</v>
      </c>
      <c r="I730" s="182">
        <f>IF(E726&gt;0,(ROUND(((D736*D735)/30),2)*E726),0)</f>
        <v>0</v>
      </c>
      <c r="J730" s="182">
        <f>IF(C726&gt;0,(ROUND(C736*C725,2)*C726),0)</f>
        <v>0</v>
      </c>
      <c r="K730" s="182">
        <f>IF(D726&gt;0,(ROUND(C736,2)*D726),0)</f>
        <v>0</v>
      </c>
      <c r="L730" s="222">
        <f>E736</f>
        <v>0</v>
      </c>
      <c r="M730" s="645">
        <f>Q715+M720+L727</f>
        <v>0</v>
      </c>
      <c r="N730" s="646"/>
      <c r="O730" s="202"/>
      <c r="P730" s="223"/>
      <c r="Q730" s="224"/>
      <c r="R730" s="182"/>
      <c r="S730" s="185"/>
      <c r="T730" s="695" t="s">
        <v>153</v>
      </c>
      <c r="U730" s="696"/>
    </row>
    <row r="731" spans="1:21" ht="41.25" customHeight="1" thickTop="1">
      <c r="A731" s="568"/>
      <c r="B731" s="208"/>
      <c r="C731" s="208"/>
      <c r="D731" s="208"/>
      <c r="E731" s="203">
        <f>ROUND((E729*E730),2)</f>
        <v>0</v>
      </c>
      <c r="F731" s="225"/>
      <c r="G731" s="226"/>
      <c r="H731" s="653" t="s">
        <v>309</v>
      </c>
      <c r="I731" s="655" t="s">
        <v>154</v>
      </c>
      <c r="J731" s="657" t="s">
        <v>155</v>
      </c>
      <c r="K731" s="660" t="s">
        <v>156</v>
      </c>
      <c r="L731" s="661" t="s">
        <v>157</v>
      </c>
      <c r="M731" s="661"/>
      <c r="N731" s="661"/>
      <c r="O731" s="662"/>
      <c r="P731" s="663" t="s">
        <v>158</v>
      </c>
      <c r="Q731" s="227" t="s">
        <v>159</v>
      </c>
      <c r="R731" s="228" t="s">
        <v>160</v>
      </c>
      <c r="S731" s="229" t="s">
        <v>161</v>
      </c>
      <c r="T731" s="695" t="s">
        <v>162</v>
      </c>
      <c r="U731" s="696"/>
    </row>
    <row r="732" spans="1:21" ht="92.25" customHeight="1">
      <c r="A732" s="568"/>
      <c r="B732" s="664" t="s">
        <v>163</v>
      </c>
      <c r="C732" s="117" t="s">
        <v>164</v>
      </c>
      <c r="D732" s="337" t="s">
        <v>165</v>
      </c>
      <c r="E732" s="146" t="s">
        <v>166</v>
      </c>
      <c r="F732" s="697" t="s">
        <v>167</v>
      </c>
      <c r="G732" s="191" t="s">
        <v>168</v>
      </c>
      <c r="H732" s="654"/>
      <c r="I732" s="656"/>
      <c r="J732" s="658"/>
      <c r="K732" s="584"/>
      <c r="L732" s="232" t="s">
        <v>169</v>
      </c>
      <c r="M732" s="123" t="s">
        <v>170</v>
      </c>
      <c r="N732" s="136" t="s">
        <v>171</v>
      </c>
      <c r="O732" s="136" t="s">
        <v>172</v>
      </c>
      <c r="P732" s="556"/>
      <c r="Q732" s="233">
        <f>ROUND(IF(S737&gt;$N$4,IF(S737&lt;=$O$4,7866.25+((S737-$N$4)*$O$3)),0)+IF(S737&gt;$O$4,20177.65+((S737-$O$4)*$P$3),0)+IF(S737&lt;=$N$4,IF(S737*E743&gt;0,S737*E743),0),0.1)</f>
        <v>0</v>
      </c>
      <c r="R732" s="234">
        <f>IF(L727&gt;0,ROUND((ROUND((L727),0.1)*E743),0.1),0)</f>
        <v>0</v>
      </c>
      <c r="S732" s="235">
        <f>IF(Q732+R732-D743&gt;=0,Q732+R732-D743,0)+IF(D743-Q732+R732&gt;0&lt;D743+0.001,Q732+R732-D743,0)</f>
        <v>0</v>
      </c>
      <c r="T732" s="695" t="s">
        <v>173</v>
      </c>
      <c r="U732" s="696"/>
    </row>
    <row r="733" spans="1:21" ht="36.75" customHeight="1">
      <c r="A733" s="568"/>
      <c r="B733" s="665"/>
      <c r="C733" s="230"/>
      <c r="D733" s="236"/>
      <c r="E733" s="237"/>
      <c r="F733" s="698"/>
      <c r="G733" s="239" t="s">
        <v>310</v>
      </c>
      <c r="H733" s="654"/>
      <c r="I733" s="656"/>
      <c r="J733" s="658"/>
      <c r="K733" s="584"/>
      <c r="L733" s="123"/>
      <c r="M733" s="240"/>
      <c r="N733" s="241"/>
      <c r="O733" s="136"/>
      <c r="P733" s="556"/>
      <c r="Q733" s="668" t="s">
        <v>174</v>
      </c>
      <c r="R733" s="669"/>
      <c r="S733" s="235">
        <f>ROUND(IF(S732&gt;=L743,S732-L743,0),0.1)</f>
        <v>0</v>
      </c>
      <c r="T733" s="338" t="str">
        <f>L$8</f>
        <v>styczeń</v>
      </c>
      <c r="U733" s="339" t="str">
        <f>N$8</f>
        <v>2011 r.</v>
      </c>
    </row>
    <row r="734" spans="1:21" ht="48" customHeight="1">
      <c r="A734" s="568"/>
      <c r="B734" s="244">
        <f>IF(B735=0,IF(T715&gt;0,IF(T720&gt;0,IF(T720="I kl",O$1)+IF(T720="II kl",P$1)+IF(T720="III kl",Q$1),ROUND((E$1*B743),2)),0),0)</f>
        <v>0</v>
      </c>
      <c r="C734" s="118" t="s">
        <v>175</v>
      </c>
      <c r="D734" s="123" t="s">
        <v>176</v>
      </c>
      <c r="E734" s="245"/>
      <c r="F734" s="698"/>
      <c r="G734" s="139"/>
      <c r="H734" s="246">
        <f>IF(H735&gt;0,1,0)</f>
        <v>0</v>
      </c>
      <c r="I734" s="247">
        <f>IF(I735&gt;0,1,0)</f>
        <v>0</v>
      </c>
      <c r="J734" s="658"/>
      <c r="K734" s="248">
        <f aca="true" t="shared" si="68" ref="K734:P734">IF(K735&gt;0,1,0)</f>
        <v>0</v>
      </c>
      <c r="L734" s="249">
        <f t="shared" si="68"/>
        <v>0</v>
      </c>
      <c r="M734" s="250">
        <f t="shared" si="68"/>
        <v>0</v>
      </c>
      <c r="N734" s="249">
        <f t="shared" si="68"/>
        <v>0</v>
      </c>
      <c r="O734" s="251">
        <f t="shared" si="68"/>
        <v>0</v>
      </c>
      <c r="P734" s="252">
        <f t="shared" si="68"/>
        <v>0</v>
      </c>
      <c r="Q734" s="670" t="s">
        <v>177</v>
      </c>
      <c r="R734" s="253" t="s">
        <v>178</v>
      </c>
      <c r="S734" s="235">
        <v>0</v>
      </c>
      <c r="T734" s="647" t="s">
        <v>179</v>
      </c>
      <c r="U734" s="648"/>
    </row>
    <row r="735" spans="1:21" ht="57.75" customHeight="1" thickBot="1">
      <c r="A735" s="568"/>
      <c r="B735" s="254"/>
      <c r="C735" s="230"/>
      <c r="D735" s="177">
        <v>0.9</v>
      </c>
      <c r="E735" s="255">
        <f>IF(E733&gt;0,$U$1-E734,0)</f>
        <v>0</v>
      </c>
      <c r="F735" s="238">
        <f>IF(F736&gt;0,1,0)</f>
        <v>0</v>
      </c>
      <c r="G735" s="256" t="s">
        <v>180</v>
      </c>
      <c r="H735" s="257">
        <f>P714+L727-P743</f>
        <v>0</v>
      </c>
      <c r="I735" s="233">
        <f>L714+K726</f>
        <v>0</v>
      </c>
      <c r="J735" s="659"/>
      <c r="K735" s="244">
        <f>S719+K725+L725+O725+R725+O738+L741-N735</f>
        <v>0</v>
      </c>
      <c r="L735" s="244"/>
      <c r="M735" s="244">
        <f>G724+IF(G726&gt;0,G726,0)</f>
        <v>0</v>
      </c>
      <c r="N735" s="244">
        <f>L741-L743</f>
        <v>0</v>
      </c>
      <c r="O735" s="244"/>
      <c r="P735" s="258">
        <f>SUM(K735:O735)</f>
        <v>0</v>
      </c>
      <c r="Q735" s="671"/>
      <c r="R735" s="259" t="s">
        <v>181</v>
      </c>
      <c r="S735" s="235">
        <v>0</v>
      </c>
      <c r="T735" s="647" t="s">
        <v>182</v>
      </c>
      <c r="U735" s="648"/>
    </row>
    <row r="736" spans="1:21" ht="45.75" customHeight="1" thickBot="1" thickTop="1">
      <c r="A736" s="569"/>
      <c r="B736" s="244">
        <f>IF(B735=0,ROUND(IF(B734&gt;0,CEILING((B734/G718),0.01),B735),2),B735)</f>
        <v>0</v>
      </c>
      <c r="C736" s="244">
        <f>IF(T715&gt;0,(IF(C733&gt;0,ROUND(((C733-(C733*(B739+C739+D739)))/30),2),0)+IF(C735&gt;0,ROUND((C735/30),2),0))+(IF(IF(C733&gt;0,ROUND(((C733-(C733*(B739+C739+D739)))/30),2),0)+IF(C735&gt;0,ROUND((C735/30),2),0)&lt;ROUND((($F$1*B743)/30),2),(IF(C733+C735&gt;0,ROUND((($F$1*B743)/30),2)-(IF(C733&gt;0,ROUND(((C733-(C733*(B739+C739+D739)))/30),2),0)+IF(C735&gt;0,ROUND((C735/30),2),0)))),0)),0)</f>
        <v>0</v>
      </c>
      <c r="D736" s="244"/>
      <c r="E736" s="244">
        <f>IF(E735&gt;0,IF(ROUND(E733-((E733/30)*E734),2)-H738+O738&gt;0,ROUND(E733-((E733/30)*E734),2)-H738+O738,0),0)</f>
        <v>0</v>
      </c>
      <c r="F736" s="137"/>
      <c r="G736" s="139"/>
      <c r="H736" s="672" t="s">
        <v>183</v>
      </c>
      <c r="I736" s="673"/>
      <c r="J736" s="673"/>
      <c r="K736" s="673"/>
      <c r="L736" s="673"/>
      <c r="M736" s="674" t="s">
        <v>184</v>
      </c>
      <c r="N736" s="675"/>
      <c r="O736" s="260" t="s">
        <v>185</v>
      </c>
      <c r="P736" s="261" t="s">
        <v>186</v>
      </c>
      <c r="Q736" s="676" t="s">
        <v>187</v>
      </c>
      <c r="R736" s="677"/>
      <c r="S736" s="262">
        <f>ROUND((IF(S733-S734&gt;=0,S733-S734,0)+S735),0.1)</f>
        <v>0</v>
      </c>
      <c r="T736" s="263" t="str">
        <f>L$8</f>
        <v>styczeń</v>
      </c>
      <c r="U736" s="264" t="str">
        <f>N$8</f>
        <v>2011 r.</v>
      </c>
    </row>
    <row r="737" spans="1:21" ht="69.75" customHeight="1" thickBot="1" thickTop="1">
      <c r="A737" s="568"/>
      <c r="B737" s="699" t="s">
        <v>188</v>
      </c>
      <c r="C737" s="700"/>
      <c r="D737" s="700"/>
      <c r="E737" s="701"/>
      <c r="F737" s="265" t="s">
        <v>189</v>
      </c>
      <c r="G737" s="266" t="s">
        <v>190</v>
      </c>
      <c r="H737" s="267" t="s">
        <v>191</v>
      </c>
      <c r="I737" s="268" t="s">
        <v>192</v>
      </c>
      <c r="J737" s="269" t="s">
        <v>193</v>
      </c>
      <c r="K737" s="238" t="s">
        <v>194</v>
      </c>
      <c r="L737" s="270" t="s">
        <v>195</v>
      </c>
      <c r="M737" s="198" t="s">
        <v>196</v>
      </c>
      <c r="N737" s="271" t="s">
        <v>197</v>
      </c>
      <c r="O737" s="294" t="s">
        <v>198</v>
      </c>
      <c r="P737" s="273" t="s">
        <v>199</v>
      </c>
      <c r="Q737" s="340" t="s">
        <v>200</v>
      </c>
      <c r="R737" s="275" t="s">
        <v>201</v>
      </c>
      <c r="S737" s="276">
        <f>IF(ROUND((P714-P743-C743),0.1)&gt;0,ROUND((P714-P743-C743),0.1),0)</f>
        <v>0</v>
      </c>
      <c r="T737" s="277"/>
      <c r="U737" s="278"/>
    </row>
    <row r="738" spans="1:21" ht="81" customHeight="1" thickTop="1">
      <c r="A738" s="568"/>
      <c r="B738" s="279" t="s">
        <v>202</v>
      </c>
      <c r="C738" s="279" t="s">
        <v>203</v>
      </c>
      <c r="D738" s="279" t="s">
        <v>204</v>
      </c>
      <c r="E738" s="279" t="s">
        <v>205</v>
      </c>
      <c r="F738" s="279" t="s">
        <v>206</v>
      </c>
      <c r="G738" s="280">
        <f>ROUND((H738*G740),2)</f>
        <v>0</v>
      </c>
      <c r="H738" s="281">
        <f>Q715+O725</f>
        <v>0</v>
      </c>
      <c r="I738" s="282">
        <f>Q715+O725</f>
        <v>0</v>
      </c>
      <c r="J738" s="282">
        <f>Q715+O725</f>
        <v>0</v>
      </c>
      <c r="K738" s="282">
        <f>Q715+O725</f>
        <v>0</v>
      </c>
      <c r="L738" s="283">
        <f>Q715+H725+I725-O738+O725</f>
        <v>0</v>
      </c>
      <c r="M738" s="284">
        <f>IF(D733&gt;0,IF(D733&lt;$U$1,ROUND((($E$1/$U$1)*D733),2),$E$1))+IF(K730&gt;0,K730,0)</f>
        <v>0</v>
      </c>
      <c r="N738" s="285">
        <f>M738</f>
        <v>0</v>
      </c>
      <c r="O738" s="286">
        <f>SUM(H741:J741)</f>
        <v>0</v>
      </c>
      <c r="P738" s="287">
        <f>IF(P739&gt;0,1,0)</f>
        <v>0</v>
      </c>
      <c r="Q738" s="288">
        <f>ROUND((H738-O725-P743+H725+I725)*$R$3,2)</f>
        <v>0</v>
      </c>
      <c r="R738" s="681" t="s">
        <v>207</v>
      </c>
      <c r="S738" s="683" t="s">
        <v>311</v>
      </c>
      <c r="T738" s="289"/>
      <c r="U738" s="278"/>
    </row>
    <row r="739" spans="1:21" ht="38.25" customHeight="1">
      <c r="A739" s="568"/>
      <c r="B739" s="158">
        <f>IF(H738&gt;0,B$2,0)</f>
        <v>0</v>
      </c>
      <c r="C739" s="158">
        <f>IF(I738&gt;0,H$4,0)</f>
        <v>0</v>
      </c>
      <c r="D739" s="158">
        <f>IF(J738&gt;0,F$2,0)</f>
        <v>0</v>
      </c>
      <c r="E739" s="158" t="s">
        <v>208</v>
      </c>
      <c r="F739" s="290" t="s">
        <v>209</v>
      </c>
      <c r="G739" s="291">
        <v>0</v>
      </c>
      <c r="H739" s="685" t="s">
        <v>210</v>
      </c>
      <c r="I739" s="686"/>
      <c r="J739" s="686"/>
      <c r="K739" s="686"/>
      <c r="L739" s="686"/>
      <c r="M739" s="292" t="s">
        <v>211</v>
      </c>
      <c r="N739" s="293" t="s">
        <v>212</v>
      </c>
      <c r="O739" s="294" t="s">
        <v>213</v>
      </c>
      <c r="P739" s="52">
        <f>IF(I738&lt;$E$1,IF(B743=1,IF(T720=0,ROUND((I738*$L$2),2),0),0),ROUND((I738*$L$2),2))</f>
        <v>0</v>
      </c>
      <c r="Q739" s="295" t="s">
        <v>214</v>
      </c>
      <c r="R739" s="682"/>
      <c r="S739" s="684"/>
      <c r="T739" s="289"/>
      <c r="U739" s="278"/>
    </row>
    <row r="740" spans="1:21" ht="42.75" customHeight="1" thickBot="1">
      <c r="A740" s="568"/>
      <c r="B740" s="158">
        <f>IF(H738&gt;0,B$2,0)</f>
        <v>0</v>
      </c>
      <c r="C740" s="158">
        <f>IF(I738&gt;0,D$2,0)</f>
        <v>0</v>
      </c>
      <c r="D740" s="158" t="s">
        <v>208</v>
      </c>
      <c r="E740" s="158">
        <f>IF(K738&gt;0,H$2,0)</f>
        <v>0</v>
      </c>
      <c r="F740" s="158">
        <f>IF(L738&gt;0,J$2,0)</f>
        <v>0</v>
      </c>
      <c r="G740" s="158">
        <f>IF(G739&gt;0,L$1,0)</f>
        <v>0</v>
      </c>
      <c r="H740" s="296" t="s">
        <v>215</v>
      </c>
      <c r="I740" s="297" t="s">
        <v>215</v>
      </c>
      <c r="J740" s="297" t="s">
        <v>215</v>
      </c>
      <c r="K740" s="298" t="s">
        <v>209</v>
      </c>
      <c r="L740" s="299" t="s">
        <v>215</v>
      </c>
      <c r="M740" s="300">
        <f>ROUND(M738*(B$2+B$2),2)</f>
        <v>0</v>
      </c>
      <c r="N740" s="301">
        <f>ROUND(N738*(D$2+H$4),2)</f>
        <v>0</v>
      </c>
      <c r="O740" s="302">
        <f>H743+I743+K743+G738</f>
        <v>0</v>
      </c>
      <c r="P740" s="303" t="s">
        <v>216</v>
      </c>
      <c r="Q740" s="304">
        <f>ROUND((L738*J$2),2)</f>
        <v>0</v>
      </c>
      <c r="R740" s="305" t="s">
        <v>217</v>
      </c>
      <c r="S740" s="684"/>
      <c r="T740" s="289"/>
      <c r="U740" s="278"/>
    </row>
    <row r="741" spans="1:21" ht="53.25" customHeight="1" thickBot="1" thickTop="1">
      <c r="A741" s="568"/>
      <c r="B741" s="141">
        <f>IF(B739+B740&gt;0,1,0)</f>
        <v>0</v>
      </c>
      <c r="C741" s="141">
        <f>IF(C739+C740&gt;0,1,0)</f>
        <v>0</v>
      </c>
      <c r="D741" s="141">
        <f>IF(D739&gt;0,1,0)</f>
        <v>0</v>
      </c>
      <c r="E741" s="141">
        <f>IF(E740&gt;0,1,0)</f>
        <v>0</v>
      </c>
      <c r="F741" s="141">
        <f>IF(F740&gt;0,1,0)</f>
        <v>0</v>
      </c>
      <c r="G741" s="141">
        <f>IF(G740&gt;0,1,0)</f>
        <v>0</v>
      </c>
      <c r="H741" s="306">
        <f>ROUND(H738*B739,2)</f>
        <v>0</v>
      </c>
      <c r="I741" s="307">
        <f>ROUND(I738*C739,2)</f>
        <v>0</v>
      </c>
      <c r="J741" s="307">
        <f>ROUND(J738*D739,2)</f>
        <v>0</v>
      </c>
      <c r="K741" s="244" t="s">
        <v>209</v>
      </c>
      <c r="L741" s="307">
        <f>IF(S732&gt;=ROUND(L738*F740,2),ROUND(L738*F740,2),S732)</f>
        <v>0</v>
      </c>
      <c r="M741" s="687" t="s">
        <v>218</v>
      </c>
      <c r="N741" s="688"/>
      <c r="O741" s="689" t="s">
        <v>219</v>
      </c>
      <c r="P741" s="308">
        <f>IF(P742&gt;0,1,0)</f>
        <v>0</v>
      </c>
      <c r="Q741" s="309" t="s">
        <v>220</v>
      </c>
      <c r="R741" s="310">
        <f>IF(B718=G718,H719+I719+J719+L719+O719+R719+IF(K719&gt;0,ROUND((K719/K717),2),0),0)+IF(B718&lt;G718,IF(B718&gt;0,ROUND((((H719+J719)/B718)*(G718-B731)),2)+IF(K719&gt;0,ROUND((K719/K717),2),0)+I719+L719+O719+R719,0),0)</f>
        <v>0</v>
      </c>
      <c r="S741" s="235">
        <f>IF(S733-S734&lt;0,S734-S733,0)</f>
        <v>0</v>
      </c>
      <c r="T741" s="289"/>
      <c r="U741" s="278"/>
    </row>
    <row r="742" spans="1:22" ht="63" customHeight="1" thickBot="1" thickTop="1">
      <c r="A742" s="568"/>
      <c r="B742" s="311" t="s">
        <v>221</v>
      </c>
      <c r="C742" s="311" t="s">
        <v>222</v>
      </c>
      <c r="D742" s="311" t="s">
        <v>34</v>
      </c>
      <c r="E742" s="146" t="s">
        <v>223</v>
      </c>
      <c r="F742" s="312" t="s">
        <v>224</v>
      </c>
      <c r="G742" s="139">
        <f>IF(Q738&gt;Q732,Q738-Q732,0)</f>
        <v>0</v>
      </c>
      <c r="H742" s="313" t="s">
        <v>225</v>
      </c>
      <c r="I742" s="314" t="s">
        <v>225</v>
      </c>
      <c r="J742" s="298" t="s">
        <v>209</v>
      </c>
      <c r="K742" s="315" t="s">
        <v>225</v>
      </c>
      <c r="L742" s="316" t="s">
        <v>226</v>
      </c>
      <c r="M742" s="317" t="s">
        <v>227</v>
      </c>
      <c r="N742" s="318" t="s">
        <v>228</v>
      </c>
      <c r="O742" s="690"/>
      <c r="P742" s="319">
        <f>ROUND(N$2*H738,2)</f>
        <v>0</v>
      </c>
      <c r="Q742" s="320">
        <f>IF(D733&gt;0,$U$2,0)</f>
        <v>0</v>
      </c>
      <c r="R742" s="321" t="s">
        <v>229</v>
      </c>
      <c r="S742" s="322" t="s">
        <v>230</v>
      </c>
      <c r="T742" s="691" t="s">
        <v>231</v>
      </c>
      <c r="U742" s="702"/>
      <c r="V742" s="323">
        <f>IF(ISBLANK(AM714),0,IF(IF(AF729&gt;=AI$2,AI$2,AF729)&gt;0,IF(AF729&gt;=AI$2,AI$2,AF729),0))</f>
        <v>0</v>
      </c>
    </row>
    <row r="743" spans="1:22" ht="42" customHeight="1" thickBot="1" thickTop="1">
      <c r="A743" s="570"/>
      <c r="B743" s="324">
        <f>IF(ISBLANK(T715),0,1)</f>
        <v>0</v>
      </c>
      <c r="C743" s="324">
        <f>IF(ISBLANK(T715),0,IF(IF(M730&gt;=P$2,P$2,M730)&gt;0,IF(M730&gt;=P$2,P$2,M730),0))</f>
        <v>0</v>
      </c>
      <c r="D743" s="324">
        <f>IF(ISBLANK(T715),0,S$1)</f>
        <v>0</v>
      </c>
      <c r="E743" s="325">
        <f>IF(G718&gt;0,$N$3,0)</f>
        <v>0</v>
      </c>
      <c r="F743" s="326">
        <f>O738+O740+P739+P742+L741+S736</f>
        <v>0</v>
      </c>
      <c r="G743" s="327">
        <f>IF(G742&gt;0,1,0)</f>
        <v>0</v>
      </c>
      <c r="H743" s="328">
        <f>ROUND(H738*B739,2)</f>
        <v>0</v>
      </c>
      <c r="I743" s="329">
        <f>ROUND(I738*C740,2)</f>
        <v>0</v>
      </c>
      <c r="J743" s="182" t="s">
        <v>209</v>
      </c>
      <c r="K743" s="330">
        <f>ROUND(K738*E740,2)</f>
        <v>0</v>
      </c>
      <c r="L743" s="185">
        <f>IF(S732&gt;=ROUND((H738-O725-P743+H725+I725)*$R$3,2),ROUND((H738-O725-P743+H725+I725)*$R$3,2),S732)</f>
        <v>0</v>
      </c>
      <c r="M743" s="179">
        <f>O738+O740</f>
        <v>0</v>
      </c>
      <c r="N743" s="331">
        <f>M743+L741</f>
        <v>0</v>
      </c>
      <c r="O743" s="332">
        <f>SUM(M740:N740)</f>
        <v>0</v>
      </c>
      <c r="P743" s="333">
        <f>ROUND(Q715*B739,2)+ROUND(Q715*C739,2)+ROUND(Q715*D739,2)</f>
        <v>0</v>
      </c>
      <c r="Q743" s="334">
        <f>IF(D733&gt;0,ROUND(($U$2*J$2),2),0)</f>
        <v>0</v>
      </c>
      <c r="R743" s="335">
        <f>IF(B718&gt;=G718/2,IF(B718=G718,H719+I719+J719+L719+O719+P719+R719+IF(K719&gt;0,ROUND((K719/K717),2),0),ROUND((((H719+J719+L719)/B718)*(G718-B731)),2)+IF(K719&gt;0,ROUND((K719/K717),2),0)+I719+O719+P719+R719),0)</f>
        <v>0</v>
      </c>
      <c r="S743" s="336">
        <f>IF(P714-O738-S736-L741&gt;0,P714-O738-S736-L741,0)</f>
        <v>0</v>
      </c>
      <c r="T743" s="693" t="s">
        <v>232</v>
      </c>
      <c r="U743" s="703"/>
      <c r="V743" s="323">
        <f>IF(ISBLANK(AM715),0,IF(IF(AF730&gt;=AJ$2,AJ$2,AF730)&gt;0,IF(AF730&gt;=AJ$2,AJ$2,AF730),0))</f>
        <v>0</v>
      </c>
    </row>
    <row r="744" ht="24" customHeight="1" thickTop="1"/>
    <row r="745" spans="1:23" ht="33" customHeight="1" thickBot="1">
      <c r="A745" s="111" t="s">
        <v>72</v>
      </c>
      <c r="B745" s="112" t="s">
        <v>73</v>
      </c>
      <c r="C745" s="113"/>
      <c r="D745" s="113"/>
      <c r="E745" s="114"/>
      <c r="F745" s="553" t="s">
        <v>74</v>
      </c>
      <c r="G745" s="555" t="s">
        <v>75</v>
      </c>
      <c r="H745" s="557" t="s">
        <v>76</v>
      </c>
      <c r="I745" s="557"/>
      <c r="J745" s="558"/>
      <c r="K745" s="559"/>
      <c r="L745" s="560"/>
      <c r="M745" s="560"/>
      <c r="N745" s="560"/>
      <c r="O745" s="561"/>
      <c r="P745" s="559"/>
      <c r="Q745" s="560"/>
      <c r="R745" s="560"/>
      <c r="S745" s="560"/>
      <c r="T745" s="565" t="s">
        <v>77</v>
      </c>
      <c r="U745" s="566"/>
      <c r="V745" s="102"/>
      <c r="W745" s="115"/>
    </row>
    <row r="746" spans="1:23" ht="44.25" customHeight="1" thickBot="1" thickTop="1">
      <c r="A746" s="567">
        <f>A714+1</f>
        <v>24</v>
      </c>
      <c r="B746" s="571" t="s">
        <v>79</v>
      </c>
      <c r="C746" s="571" t="s">
        <v>80</v>
      </c>
      <c r="D746" s="573" t="s">
        <v>81</v>
      </c>
      <c r="E746" s="573"/>
      <c r="F746" s="554"/>
      <c r="G746" s="556"/>
      <c r="H746" s="574" t="s">
        <v>82</v>
      </c>
      <c r="I746" s="574"/>
      <c r="J746" s="574"/>
      <c r="K746" s="574"/>
      <c r="L746" s="575">
        <f>P746+S752</f>
        <v>0</v>
      </c>
      <c r="M746" s="576"/>
      <c r="N746" s="577" t="s">
        <v>83</v>
      </c>
      <c r="O746" s="578"/>
      <c r="P746" s="575">
        <f>Q747+M752</f>
        <v>0</v>
      </c>
      <c r="Q746" s="576"/>
      <c r="R746" s="119"/>
      <c r="S746" s="120"/>
      <c r="T746" s="121"/>
      <c r="U746" s="122"/>
      <c r="V746" s="102"/>
      <c r="W746" s="115"/>
    </row>
    <row r="747" spans="1:23" ht="36.75" customHeight="1">
      <c r="A747" s="568"/>
      <c r="B747" s="572"/>
      <c r="C747" s="572"/>
      <c r="D747" s="124" t="s">
        <v>85</v>
      </c>
      <c r="E747" s="124" t="s">
        <v>86</v>
      </c>
      <c r="F747" s="554"/>
      <c r="G747" s="556"/>
      <c r="H747" s="562" t="s">
        <v>87</v>
      </c>
      <c r="I747" s="563"/>
      <c r="J747" s="563"/>
      <c r="K747" s="563"/>
      <c r="L747" s="563"/>
      <c r="M747" s="563"/>
      <c r="N747" s="563"/>
      <c r="O747" s="563"/>
      <c r="P747" s="564"/>
      <c r="Q747" s="579">
        <f>SUM(H751:S751)</f>
        <v>0</v>
      </c>
      <c r="R747" s="580"/>
      <c r="S747" s="125"/>
      <c r="T747" s="581"/>
      <c r="U747" s="582"/>
      <c r="V747" s="102"/>
      <c r="W747" s="115"/>
    </row>
    <row r="748" spans="1:23" ht="38.25" customHeight="1">
      <c r="A748" s="568"/>
      <c r="B748" s="572"/>
      <c r="C748" s="126"/>
      <c r="D748" s="124" t="s">
        <v>89</v>
      </c>
      <c r="E748" s="124" t="s">
        <v>89</v>
      </c>
      <c r="F748" s="554"/>
      <c r="G748" s="127"/>
      <c r="H748" s="128" t="s">
        <v>90</v>
      </c>
      <c r="I748" s="129" t="s">
        <v>91</v>
      </c>
      <c r="J748" s="129" t="s">
        <v>92</v>
      </c>
      <c r="K748" s="130" t="s">
        <v>93</v>
      </c>
      <c r="L748" s="583" t="s">
        <v>94</v>
      </c>
      <c r="M748" s="583" t="s">
        <v>95</v>
      </c>
      <c r="N748" s="583" t="s">
        <v>96</v>
      </c>
      <c r="O748" s="585" t="s">
        <v>97</v>
      </c>
      <c r="P748" s="583" t="s">
        <v>98</v>
      </c>
      <c r="Q748" s="587" t="s">
        <v>99</v>
      </c>
      <c r="R748" s="589" t="s">
        <v>100</v>
      </c>
      <c r="S748" s="591" t="s">
        <v>101</v>
      </c>
      <c r="T748" s="581"/>
      <c r="U748" s="582"/>
      <c r="V748" s="102"/>
      <c r="W748" s="115"/>
    </row>
    <row r="749" spans="1:23" ht="30" customHeight="1">
      <c r="A749" s="568"/>
      <c r="B749" s="572"/>
      <c r="C749" s="131"/>
      <c r="D749" s="131"/>
      <c r="E749" s="131"/>
      <c r="F749" s="554"/>
      <c r="G749" s="127"/>
      <c r="H749" s="132" t="s">
        <v>103</v>
      </c>
      <c r="I749" s="133" t="s">
        <v>104</v>
      </c>
      <c r="J749" s="134">
        <v>0</v>
      </c>
      <c r="K749" s="135">
        <v>1</v>
      </c>
      <c r="L749" s="584"/>
      <c r="M749" s="584"/>
      <c r="N749" s="584"/>
      <c r="O749" s="586"/>
      <c r="P749" s="584"/>
      <c r="Q749" s="588"/>
      <c r="R749" s="590"/>
      <c r="S749" s="592"/>
      <c r="T749" s="581"/>
      <c r="U749" s="582"/>
      <c r="V749" s="102"/>
      <c r="W749" s="115"/>
    </row>
    <row r="750" spans="1:21" ht="51" customHeight="1">
      <c r="A750" s="568"/>
      <c r="B750" s="137">
        <f>G750</f>
        <v>0</v>
      </c>
      <c r="C750" s="137"/>
      <c r="D750" s="137"/>
      <c r="E750" s="138"/>
      <c r="F750" s="138"/>
      <c r="G750" s="139">
        <f>B$1*B775</f>
        <v>0</v>
      </c>
      <c r="H750" s="140">
        <f aca="true" t="shared" si="69" ref="H750:S750">IF(H751&gt;0,1,0)</f>
        <v>0</v>
      </c>
      <c r="I750" s="141">
        <f t="shared" si="69"/>
        <v>0</v>
      </c>
      <c r="J750" s="141">
        <f t="shared" si="69"/>
        <v>0</v>
      </c>
      <c r="K750" s="142">
        <f t="shared" si="69"/>
        <v>0</v>
      </c>
      <c r="L750" s="142">
        <f t="shared" si="69"/>
        <v>0</v>
      </c>
      <c r="M750" s="142">
        <f t="shared" si="69"/>
        <v>0</v>
      </c>
      <c r="N750" s="142">
        <f t="shared" si="69"/>
        <v>0</v>
      </c>
      <c r="O750" s="141">
        <f t="shared" si="69"/>
        <v>0</v>
      </c>
      <c r="P750" s="142">
        <f t="shared" si="69"/>
        <v>0</v>
      </c>
      <c r="Q750" s="142">
        <f t="shared" si="69"/>
        <v>0</v>
      </c>
      <c r="R750" s="143">
        <f t="shared" si="69"/>
        <v>0</v>
      </c>
      <c r="S750" s="144">
        <f t="shared" si="69"/>
        <v>0</v>
      </c>
      <c r="T750" s="593"/>
      <c r="U750" s="594"/>
    </row>
    <row r="751" spans="1:22" ht="49.5" customHeight="1" thickBot="1">
      <c r="A751" s="568"/>
      <c r="B751" s="595" t="s">
        <v>106</v>
      </c>
      <c r="C751" s="595" t="s">
        <v>107</v>
      </c>
      <c r="D751" s="596" t="s">
        <v>108</v>
      </c>
      <c r="E751" s="148" t="s">
        <v>109</v>
      </c>
      <c r="F751" s="149"/>
      <c r="G751" s="597" t="s">
        <v>110</v>
      </c>
      <c r="H751" s="150">
        <f>IF(B750+B754+B761+B763+C760+D754+F751&gt;0,IF(B766&gt;0,B766-(IF(E754+F754+G754+B758+C758+D758+E758+F758&gt;0,ROUND((B766/30)*IF(E754+F754+G754+B758+C758+D758+E758+F758&lt;31,E754+F754+G754+B758+C758+D758+E758+F758,30),2),0)+ROUND(((B766/G750)*(B754+B761+B763+C760+D754)),2)),0),0)+IF(B750&gt;G750,IF(B766&gt;0,(B750-G750)*B768,0),0)+IF(B767&gt;0,B767*B750,0)-IF(IF(B750+B754+B761+B763+C760+D754+F751&gt;0,IF(B766&gt;0,B766-(IF(E754+F754+G754+B758+C758+D758+E758+F758&gt;0,ROUND((B766/30)*IF(E754+F754+G754+B758+C758+D758+E758+F758&lt;31,E754+F754+G754+B758+C758+D758+E758+F758,30),2),0)+ROUND(((B766/G750)*(B754+B761+B763+C760+D754)),2)),0),0)&lt;0,IF(B750+B754+B761+B763+C760+D754+F751&gt;0,IF(B766&gt;0,B766-(IF(E754+F754+G754+B758+C758+D758+E758+F758&gt;0,ROUND((B766/30)*IF(E754+F754+G754+B758+C758+D758+E758+F758&lt;31,E754+F754+G754+B758+C758+D758+E758+F758,30),2),0)+ROUND(((B766/G750)*(B754+B761+B763+C760+D754)),2)),0),0),0)</f>
        <v>0</v>
      </c>
      <c r="I751" s="151">
        <f>ROUND(D750*ROUND(B768*150%,2)+E750*ROUND(B768*200%,2),2)</f>
        <v>0</v>
      </c>
      <c r="J751" s="151">
        <f>ROUND((J749*H751),2)</f>
        <v>0</v>
      </c>
      <c r="K751" s="151"/>
      <c r="L751" s="151">
        <f>IF(C750&gt;0,C750*ROUND(B768*U$3,2),0)+IF(U$3=0,IF(C750&gt;0,C750*ROUND(20%*ROUND(E$1/G750,2),2),0))</f>
        <v>0</v>
      </c>
      <c r="M751" s="151">
        <f>IF(B754&gt;0,ROUND((B754*C763),2),0)</f>
        <v>0</v>
      </c>
      <c r="N751" s="151">
        <f>IF(B750+D750+E750+F750&gt;0,ROUND((((H751+I751+J751+L751+O751)/(B750+D750+E750+F750))*D754),2),B768*D754)</f>
        <v>0</v>
      </c>
      <c r="O751" s="151">
        <f>ROUND((F750*B768),2)</f>
        <v>0</v>
      </c>
      <c r="P751" s="151">
        <f>IF(C754&gt;0,ROUND((D763/($I$1*8*B775)),2)*C754,0)</f>
        <v>0</v>
      </c>
      <c r="Q751" s="151"/>
      <c r="R751" s="152"/>
      <c r="S751" s="153">
        <f>IF(G768&gt;500,G768-500,0)+IF(F768&gt;190,F768-190,0)</f>
        <v>0</v>
      </c>
      <c r="T751" s="593"/>
      <c r="U751" s="594"/>
      <c r="V751" s="154"/>
    </row>
    <row r="752" spans="1:21" ht="57" customHeight="1">
      <c r="A752" s="568"/>
      <c r="B752" s="554"/>
      <c r="C752" s="554"/>
      <c r="D752" s="554"/>
      <c r="E752" s="599" t="s">
        <v>112</v>
      </c>
      <c r="F752" s="599"/>
      <c r="G752" s="598"/>
      <c r="H752" s="600" t="s">
        <v>113</v>
      </c>
      <c r="I752" s="601"/>
      <c r="J752" s="601"/>
      <c r="K752" s="601"/>
      <c r="L752" s="601"/>
      <c r="M752" s="602">
        <f>H757+I757+M753</f>
        <v>0</v>
      </c>
      <c r="N752" s="603"/>
      <c r="O752" s="604" t="s">
        <v>114</v>
      </c>
      <c r="P752" s="604"/>
      <c r="Q752" s="604"/>
      <c r="R752" s="604"/>
      <c r="S752" s="156">
        <f>S753+O757</f>
        <v>0</v>
      </c>
      <c r="T752" s="605"/>
      <c r="U752" s="606"/>
    </row>
    <row r="753" spans="1:21" ht="38.25" customHeight="1">
      <c r="A753" s="568"/>
      <c r="B753" s="157"/>
      <c r="C753" s="131"/>
      <c r="D753" s="131"/>
      <c r="E753" s="158">
        <v>0.8</v>
      </c>
      <c r="F753" s="158">
        <v>1</v>
      </c>
      <c r="G753" s="159">
        <v>0.8</v>
      </c>
      <c r="H753" s="607" t="s">
        <v>115</v>
      </c>
      <c r="I753" s="608"/>
      <c r="J753" s="609" t="s">
        <v>116</v>
      </c>
      <c r="K753" s="610"/>
      <c r="L753" s="610"/>
      <c r="M753" s="611">
        <f>SUM(J757:N757)</f>
        <v>0</v>
      </c>
      <c r="N753" s="612"/>
      <c r="O753" s="160" t="s">
        <v>117</v>
      </c>
      <c r="P753" s="613" t="s">
        <v>118</v>
      </c>
      <c r="Q753" s="614"/>
      <c r="R753" s="615"/>
      <c r="S753" s="161">
        <f>SUM(P757:S757)</f>
        <v>0</v>
      </c>
      <c r="T753" s="616"/>
      <c r="U753" s="617"/>
    </row>
    <row r="754" spans="1:21" ht="40.5" customHeight="1">
      <c r="A754" s="568"/>
      <c r="B754" s="137"/>
      <c r="C754" s="137"/>
      <c r="D754" s="137"/>
      <c r="E754" s="137"/>
      <c r="F754" s="137"/>
      <c r="G754" s="139"/>
      <c r="H754" s="618" t="s">
        <v>119</v>
      </c>
      <c r="I754" s="162"/>
      <c r="J754" s="620" t="s">
        <v>120</v>
      </c>
      <c r="K754" s="595" t="s">
        <v>121</v>
      </c>
      <c r="L754" s="595" t="s">
        <v>122</v>
      </c>
      <c r="M754" s="595" t="s">
        <v>123</v>
      </c>
      <c r="N754" s="163" t="s">
        <v>124</v>
      </c>
      <c r="O754" s="622" t="s">
        <v>125</v>
      </c>
      <c r="P754" s="624" t="s">
        <v>126</v>
      </c>
      <c r="Q754" s="584" t="s">
        <v>127</v>
      </c>
      <c r="R754" s="634" t="s">
        <v>128</v>
      </c>
      <c r="S754" s="633" t="s">
        <v>129</v>
      </c>
      <c r="T754" s="164"/>
      <c r="U754" s="165"/>
    </row>
    <row r="755" spans="1:21" ht="39.75" customHeight="1">
      <c r="A755" s="568"/>
      <c r="B755" s="571" t="s">
        <v>110</v>
      </c>
      <c r="C755" s="571" t="s">
        <v>130</v>
      </c>
      <c r="D755" s="571" t="s">
        <v>131</v>
      </c>
      <c r="E755" s="571" t="s">
        <v>132</v>
      </c>
      <c r="F755" s="571" t="s">
        <v>110</v>
      </c>
      <c r="G755" s="166" t="s">
        <v>133</v>
      </c>
      <c r="H755" s="619"/>
      <c r="I755" s="167"/>
      <c r="J755" s="621"/>
      <c r="K755" s="554"/>
      <c r="L755" s="554"/>
      <c r="M755" s="554"/>
      <c r="N755" s="168" t="s">
        <v>134</v>
      </c>
      <c r="O755" s="623"/>
      <c r="P755" s="624"/>
      <c r="Q755" s="584"/>
      <c r="R755" s="634"/>
      <c r="S755" s="633"/>
      <c r="T755" s="627">
        <f>I767-S768-P767</f>
        <v>0</v>
      </c>
      <c r="U755" s="628"/>
    </row>
    <row r="756" spans="1:21" ht="35.25" customHeight="1">
      <c r="A756" s="568"/>
      <c r="B756" s="572"/>
      <c r="C756" s="572"/>
      <c r="D756" s="572"/>
      <c r="E756" s="572"/>
      <c r="F756" s="572"/>
      <c r="G756" s="139"/>
      <c r="H756" s="169">
        <f aca="true" t="shared" si="70" ref="H756:M756">IF(H757&gt;0,1,0)</f>
        <v>0</v>
      </c>
      <c r="I756" s="170">
        <f t="shared" si="70"/>
        <v>0</v>
      </c>
      <c r="J756" s="171">
        <f t="shared" si="70"/>
        <v>0</v>
      </c>
      <c r="K756" s="172">
        <f t="shared" si="70"/>
        <v>0</v>
      </c>
      <c r="L756" s="173">
        <f t="shared" si="70"/>
        <v>0</v>
      </c>
      <c r="M756" s="173">
        <f t="shared" si="70"/>
        <v>0</v>
      </c>
      <c r="N756" s="174">
        <v>0</v>
      </c>
      <c r="O756" s="175">
        <f>IF(O757&gt;0,1,0)</f>
        <v>0</v>
      </c>
      <c r="P756" s="171">
        <f>IF(P757&gt;0,1,0)</f>
        <v>0</v>
      </c>
      <c r="Q756" s="173">
        <f>IF(Q757&gt;0,1,0)</f>
        <v>0</v>
      </c>
      <c r="R756" s="173">
        <f>IF(R757&gt;0,1,0)</f>
        <v>0</v>
      </c>
      <c r="S756" s="176">
        <f>IF(S757&gt;0,1,0)</f>
        <v>0</v>
      </c>
      <c r="T756" s="627"/>
      <c r="U756" s="628"/>
    </row>
    <row r="757" spans="1:21" ht="36" customHeight="1" thickBot="1">
      <c r="A757" s="568"/>
      <c r="B757" s="177">
        <v>1</v>
      </c>
      <c r="C757" s="177">
        <v>0.8</v>
      </c>
      <c r="D757" s="572"/>
      <c r="E757" s="572"/>
      <c r="F757" s="177">
        <v>0.7</v>
      </c>
      <c r="G757" s="178">
        <v>0</v>
      </c>
      <c r="H757" s="179">
        <f>IF(E754&gt;0,ROUND((C768*E753),2)*E754,0)+IF(F754&gt;0,C768*F754,0)</f>
        <v>0</v>
      </c>
      <c r="I757" s="180"/>
      <c r="J757" s="181">
        <f>IF(G750&gt;0,IF(B750&gt;=G750,E763-((E763/22)*F763),(E763-(ROUND(((E763/22)*(((G750-B750)/8*B775)+F763)),2))))-IF(B750=0,0,0)-IF(B750&lt;=F763*8*B775,E763-ROUND(((E763/22)*(((G750-B750)/8*B775)+F763)),2),0),0)</f>
        <v>0</v>
      </c>
      <c r="K757" s="182">
        <f>G766-R757</f>
        <v>0</v>
      </c>
      <c r="L757" s="182">
        <f>IF(F768&gt;0,IF(F768&lt;190,F768,190),0)</f>
        <v>0</v>
      </c>
      <c r="M757" s="182"/>
      <c r="N757" s="183">
        <f>IF(N756&gt;0,L$3*B775*N756,0)</f>
        <v>0</v>
      </c>
      <c r="O757" s="184">
        <f>IF(C775&lt;=$P$2,IF(G768&gt;0,IF(G768&lt;500,G768,500),0),0)</f>
        <v>0</v>
      </c>
      <c r="P757" s="181">
        <f>IF(G763&gt;0,ROUND(((G763/G750)*B750),2),0)+G762</f>
        <v>0</v>
      </c>
      <c r="Q757" s="182">
        <f>IF(F761&gt;0,ROUND((F761/G750)*B750,2),0)</f>
        <v>0</v>
      </c>
      <c r="R757" s="182">
        <f>IF(G766&gt;0,IF(G766&lt;380,G766,380),0)</f>
        <v>0</v>
      </c>
      <c r="S757" s="185"/>
      <c r="T757" s="627"/>
      <c r="U757" s="628"/>
    </row>
    <row r="758" spans="1:21" ht="60" customHeight="1" thickBot="1" thickTop="1">
      <c r="A758" s="568"/>
      <c r="B758" s="137"/>
      <c r="C758" s="137"/>
      <c r="D758" s="137"/>
      <c r="E758" s="137"/>
      <c r="F758" s="137"/>
      <c r="G758" s="139">
        <f>IF(L746+L759-Q757-P757-K767-J757&gt;$F$1,IF(G757&gt;0,IF(((H767-S768-L773-L767-J757-K757-L757-O770+P775)*(100%-G757))&gt;=(($F$1*B775)-IF(ROUND(((ROUND(($F$1-C775),0.1)*E775)-D775),0.1)&gt;0,ROUND(((ROUND(($F$1-C775),0.1)*E775)-D775),0.1),0)),((H767-S768-L773-L767-J757-K757-L757-O770+P775)*G757)))+IF(G757&gt;0,IF(((H767-S768-L773-L767-J757-K757-L757-O770+P775)*(100%-G757))&lt;(($F$1*B775)-IF(ROUND(((ROUND(($F$1-C775),0.1)*E775)-D775),0.1)&gt;0,ROUND(((ROUND(($F$1-C775),0.1)*E775)-D775),0.1),0)),(H767-S768-L773-L767-J757-K757-L757-O770+P775)-(($F$1*B775)-IF(ROUND(((ROUND(($F$1-C775),0.1)*E775)-D775),0.1)&gt;0,ROUND(((ROUND(($F$1-C775),0.1)*E775)-D775),0.1),0)))),0)</f>
        <v>0</v>
      </c>
      <c r="H758" s="629" t="s">
        <v>135</v>
      </c>
      <c r="I758" s="630"/>
      <c r="J758" s="630"/>
      <c r="K758" s="575">
        <f>L759+P758</f>
        <v>0</v>
      </c>
      <c r="L758" s="576"/>
      <c r="M758" s="631" t="s">
        <v>136</v>
      </c>
      <c r="N758" s="632"/>
      <c r="O758" s="632"/>
      <c r="P758" s="575">
        <f>P759+S759</f>
        <v>0</v>
      </c>
      <c r="Q758" s="575"/>
      <c r="R758" s="186"/>
      <c r="S758" s="186"/>
      <c r="T758" s="187">
        <v>200</v>
      </c>
      <c r="U758" s="188">
        <f>ROUND(((1400/'[1]Li-pł zlec'!$V$1)*'[1]LI-PŁ-prac'!T758),2)+((H757+L759)-ROUND(((H757+L759)*$N$3),2))+O760+P760+P762+R762+S762-O767-L767-M767</f>
        <v>1750</v>
      </c>
    </row>
    <row r="759" spans="1:21" ht="119.25" customHeight="1">
      <c r="A759" s="568"/>
      <c r="B759" s="189" t="s">
        <v>137</v>
      </c>
      <c r="C759" s="190" t="s">
        <v>138</v>
      </c>
      <c r="D759" s="595" t="s">
        <v>139</v>
      </c>
      <c r="E759" s="649" t="s">
        <v>307</v>
      </c>
      <c r="F759" s="191" t="s">
        <v>140</v>
      </c>
      <c r="G759" s="192" t="s">
        <v>141</v>
      </c>
      <c r="H759" s="651" t="s">
        <v>142</v>
      </c>
      <c r="I759" s="652"/>
      <c r="J759" s="652"/>
      <c r="K759" s="652"/>
      <c r="L759" s="193">
        <f>SUM(H762:L762)</f>
        <v>0</v>
      </c>
      <c r="M759" s="625"/>
      <c r="N759" s="626"/>
      <c r="O759" s="626"/>
      <c r="P759" s="193"/>
      <c r="Q759" s="635"/>
      <c r="R759" s="636"/>
      <c r="S759" s="194"/>
      <c r="T759" s="637"/>
      <c r="U759" s="638"/>
    </row>
    <row r="760" spans="1:21" ht="141" customHeight="1" thickBot="1">
      <c r="A760" s="568"/>
      <c r="B760" s="195" t="s">
        <v>143</v>
      </c>
      <c r="C760" s="196"/>
      <c r="D760" s="554"/>
      <c r="E760" s="650"/>
      <c r="F760" s="197">
        <f>IF(F761&gt;0,1,0)</f>
        <v>0</v>
      </c>
      <c r="G760" s="155" t="s">
        <v>308</v>
      </c>
      <c r="H760" s="198" t="s">
        <v>144</v>
      </c>
      <c r="I760" s="199" t="s">
        <v>145</v>
      </c>
      <c r="J760" s="199" t="s">
        <v>146</v>
      </c>
      <c r="K760" s="199" t="s">
        <v>147</v>
      </c>
      <c r="L760" s="200" t="s">
        <v>148</v>
      </c>
      <c r="M760" s="201"/>
      <c r="N760" s="202"/>
      <c r="O760" s="203"/>
      <c r="P760" s="204"/>
      <c r="Q760" s="205"/>
      <c r="R760" s="206"/>
      <c r="S760" s="207"/>
      <c r="T760" s="637"/>
      <c r="U760" s="638"/>
    </row>
    <row r="761" spans="1:21" ht="51.75" customHeight="1">
      <c r="A761" s="568"/>
      <c r="B761" s="208"/>
      <c r="C761" s="595" t="s">
        <v>149</v>
      </c>
      <c r="D761" s="554"/>
      <c r="E761" s="209"/>
      <c r="F761" s="210">
        <f>IF(T747&gt;0,$H$3,0)</f>
        <v>0</v>
      </c>
      <c r="G761" s="211">
        <f>IF(G762+G763&gt;0,1,0)</f>
        <v>0</v>
      </c>
      <c r="H761" s="212">
        <f>IF(H762&gt;0,1,0)</f>
        <v>0</v>
      </c>
      <c r="I761" s="213">
        <f>IF(I762&gt;0,1,0)</f>
        <v>0</v>
      </c>
      <c r="J761" s="213">
        <f>IF(J762&gt;0,1,0)</f>
        <v>0</v>
      </c>
      <c r="K761" s="213">
        <f>IF(K762&gt;0,1,0)</f>
        <v>0</v>
      </c>
      <c r="L761" s="214">
        <f>IF(L762&gt;0,1,0)</f>
        <v>0</v>
      </c>
      <c r="M761" s="639" t="s">
        <v>150</v>
      </c>
      <c r="N761" s="640"/>
      <c r="O761" s="641"/>
      <c r="P761" s="642"/>
      <c r="Q761" s="215"/>
      <c r="R761" s="216"/>
      <c r="S761" s="217"/>
      <c r="T761" s="643"/>
      <c r="U761" s="644"/>
    </row>
    <row r="762" spans="1:21" ht="60.75" customHeight="1" thickBot="1">
      <c r="A762" s="568"/>
      <c r="B762" s="218" t="s">
        <v>151</v>
      </c>
      <c r="C762" s="554"/>
      <c r="D762" s="131"/>
      <c r="E762" s="219">
        <f>IF(E761&gt;0,C$3,0)</f>
        <v>0</v>
      </c>
      <c r="F762" s="220" t="s">
        <v>152</v>
      </c>
      <c r="G762" s="221"/>
      <c r="H762" s="179">
        <f>IF(G754&gt;0,(ROUND((C768*G753),2)*G754),0)+IF(B758&gt;0,(ROUND((C768*B757),2)*B758),0)+IF(F758&gt;0,(ROUND((C768*F757),2)*F758),0)</f>
        <v>0</v>
      </c>
      <c r="I762" s="182">
        <f>IF(E758&gt;0,(ROUND(((D768*D767)/30),2)*E758),0)</f>
        <v>0</v>
      </c>
      <c r="J762" s="182">
        <f>IF(C758&gt;0,(ROUND(C768*C757,2)*C758),0)</f>
        <v>0</v>
      </c>
      <c r="K762" s="182">
        <f>IF(D758&gt;0,(ROUND(C768,2)*D758),0)</f>
        <v>0</v>
      </c>
      <c r="L762" s="222">
        <f>E768</f>
        <v>0</v>
      </c>
      <c r="M762" s="645">
        <f>Q747+M752+L759</f>
        <v>0</v>
      </c>
      <c r="N762" s="646"/>
      <c r="O762" s="202"/>
      <c r="P762" s="223"/>
      <c r="Q762" s="224"/>
      <c r="R762" s="182"/>
      <c r="S762" s="185"/>
      <c r="T762" s="695" t="s">
        <v>153</v>
      </c>
      <c r="U762" s="696"/>
    </row>
    <row r="763" spans="1:21" ht="41.25" customHeight="1" thickTop="1">
      <c r="A763" s="568"/>
      <c r="B763" s="208"/>
      <c r="C763" s="208"/>
      <c r="D763" s="208"/>
      <c r="E763" s="203">
        <f>ROUND((E761*E762),2)</f>
        <v>0</v>
      </c>
      <c r="F763" s="225"/>
      <c r="G763" s="226"/>
      <c r="H763" s="653" t="s">
        <v>309</v>
      </c>
      <c r="I763" s="655" t="s">
        <v>154</v>
      </c>
      <c r="J763" s="657" t="s">
        <v>155</v>
      </c>
      <c r="K763" s="660" t="s">
        <v>156</v>
      </c>
      <c r="L763" s="661" t="s">
        <v>157</v>
      </c>
      <c r="M763" s="661"/>
      <c r="N763" s="661"/>
      <c r="O763" s="662"/>
      <c r="P763" s="663" t="s">
        <v>158</v>
      </c>
      <c r="Q763" s="227" t="s">
        <v>159</v>
      </c>
      <c r="R763" s="228" t="s">
        <v>160</v>
      </c>
      <c r="S763" s="229" t="s">
        <v>161</v>
      </c>
      <c r="T763" s="695" t="s">
        <v>162</v>
      </c>
      <c r="U763" s="696"/>
    </row>
    <row r="764" spans="1:21" ht="92.25" customHeight="1">
      <c r="A764" s="568"/>
      <c r="B764" s="664" t="s">
        <v>163</v>
      </c>
      <c r="C764" s="117" t="s">
        <v>164</v>
      </c>
      <c r="D764" s="337" t="s">
        <v>165</v>
      </c>
      <c r="E764" s="146" t="s">
        <v>166</v>
      </c>
      <c r="F764" s="697" t="s">
        <v>167</v>
      </c>
      <c r="G764" s="191" t="s">
        <v>168</v>
      </c>
      <c r="H764" s="654"/>
      <c r="I764" s="656"/>
      <c r="J764" s="658"/>
      <c r="K764" s="584"/>
      <c r="L764" s="232" t="s">
        <v>169</v>
      </c>
      <c r="M764" s="123" t="s">
        <v>170</v>
      </c>
      <c r="N764" s="136" t="s">
        <v>171</v>
      </c>
      <c r="O764" s="136" t="s">
        <v>172</v>
      </c>
      <c r="P764" s="556"/>
      <c r="Q764" s="233">
        <f>ROUND(IF(S769&gt;$N$4,IF(S769&lt;=$O$4,7866.25+((S769-$N$4)*$O$3)),0)+IF(S769&gt;$O$4,20177.65+((S769-$O$4)*$P$3),0)+IF(S769&lt;=$N$4,IF(S769*E775&gt;0,S769*E775),0),0.1)</f>
        <v>0</v>
      </c>
      <c r="R764" s="234">
        <f>IF(L759&gt;0,ROUND((ROUND((L759),0.1)*E775),0.1),0)</f>
        <v>0</v>
      </c>
      <c r="S764" s="235">
        <f>IF(Q764+R764-D775&gt;=0,Q764+R764-D775,0)+IF(D775-Q764+R764&gt;0&lt;D775+0.001,Q764+R764-D775,0)</f>
        <v>0</v>
      </c>
      <c r="T764" s="695" t="s">
        <v>173</v>
      </c>
      <c r="U764" s="696"/>
    </row>
    <row r="765" spans="1:21" ht="36.75" customHeight="1">
      <c r="A765" s="568"/>
      <c r="B765" s="665"/>
      <c r="C765" s="230"/>
      <c r="D765" s="236"/>
      <c r="E765" s="237"/>
      <c r="F765" s="698"/>
      <c r="G765" s="239" t="s">
        <v>310</v>
      </c>
      <c r="H765" s="654"/>
      <c r="I765" s="656"/>
      <c r="J765" s="658"/>
      <c r="K765" s="584"/>
      <c r="L765" s="123"/>
      <c r="M765" s="240"/>
      <c r="N765" s="241"/>
      <c r="O765" s="136"/>
      <c r="P765" s="556"/>
      <c r="Q765" s="668" t="s">
        <v>174</v>
      </c>
      <c r="R765" s="669"/>
      <c r="S765" s="235">
        <f>ROUND(IF(S764&gt;=L775,S764-L775,0),0.1)</f>
        <v>0</v>
      </c>
      <c r="T765" s="338" t="str">
        <f>L$8</f>
        <v>styczeń</v>
      </c>
      <c r="U765" s="339" t="str">
        <f>N$8</f>
        <v>2011 r.</v>
      </c>
    </row>
    <row r="766" spans="1:21" ht="48" customHeight="1">
      <c r="A766" s="568"/>
      <c r="B766" s="244">
        <f>IF(B767=0,IF(T747&gt;0,IF(T752&gt;0,IF(T752="I kl",O$1)+IF(T752="II kl",P$1)+IF(T752="III kl",Q$1),ROUND((E$1*B775),2)),0),0)</f>
        <v>0</v>
      </c>
      <c r="C766" s="118" t="s">
        <v>175</v>
      </c>
      <c r="D766" s="123" t="s">
        <v>176</v>
      </c>
      <c r="E766" s="245"/>
      <c r="F766" s="698"/>
      <c r="G766" s="139"/>
      <c r="H766" s="246">
        <f>IF(H767&gt;0,1,0)</f>
        <v>0</v>
      </c>
      <c r="I766" s="247">
        <f>IF(I767&gt;0,1,0)</f>
        <v>0</v>
      </c>
      <c r="J766" s="658"/>
      <c r="K766" s="248">
        <f aca="true" t="shared" si="71" ref="K766:P766">IF(K767&gt;0,1,0)</f>
        <v>0</v>
      </c>
      <c r="L766" s="249">
        <f t="shared" si="71"/>
        <v>0</v>
      </c>
      <c r="M766" s="250">
        <f t="shared" si="71"/>
        <v>0</v>
      </c>
      <c r="N766" s="249">
        <f t="shared" si="71"/>
        <v>0</v>
      </c>
      <c r="O766" s="251">
        <f t="shared" si="71"/>
        <v>0</v>
      </c>
      <c r="P766" s="252">
        <f t="shared" si="71"/>
        <v>0</v>
      </c>
      <c r="Q766" s="670" t="s">
        <v>177</v>
      </c>
      <c r="R766" s="253" t="s">
        <v>178</v>
      </c>
      <c r="S766" s="235">
        <v>0</v>
      </c>
      <c r="T766" s="647" t="s">
        <v>179</v>
      </c>
      <c r="U766" s="648"/>
    </row>
    <row r="767" spans="1:21" ht="57.75" customHeight="1" thickBot="1">
      <c r="A767" s="568"/>
      <c r="B767" s="254"/>
      <c r="C767" s="230"/>
      <c r="D767" s="177">
        <v>0.9</v>
      </c>
      <c r="E767" s="255">
        <f>IF(E765&gt;0,$U$1-E766,0)</f>
        <v>0</v>
      </c>
      <c r="F767" s="238">
        <f>IF(F768&gt;0,1,0)</f>
        <v>0</v>
      </c>
      <c r="G767" s="256" t="s">
        <v>180</v>
      </c>
      <c r="H767" s="257">
        <f>P746+L759-P775</f>
        <v>0</v>
      </c>
      <c r="I767" s="233">
        <f>L746+K758</f>
        <v>0</v>
      </c>
      <c r="J767" s="659"/>
      <c r="K767" s="244">
        <f>S751+K757+L757+O757+R757+O770+L773-N767</f>
        <v>0</v>
      </c>
      <c r="L767" s="244"/>
      <c r="M767" s="244">
        <f>G756+IF(G758&gt;0,G758,0)</f>
        <v>0</v>
      </c>
      <c r="N767" s="244">
        <f>L773-L775</f>
        <v>0</v>
      </c>
      <c r="O767" s="244"/>
      <c r="P767" s="258">
        <f>SUM(K767:O767)</f>
        <v>0</v>
      </c>
      <c r="Q767" s="671"/>
      <c r="R767" s="259" t="s">
        <v>181</v>
      </c>
      <c r="S767" s="235">
        <v>0</v>
      </c>
      <c r="T767" s="647" t="s">
        <v>182</v>
      </c>
      <c r="U767" s="648"/>
    </row>
    <row r="768" spans="1:21" ht="45.75" customHeight="1" thickBot="1" thickTop="1">
      <c r="A768" s="569"/>
      <c r="B768" s="244">
        <f>IF(B767=0,ROUND(IF(B766&gt;0,CEILING((B766/G750),0.01),B767),2),B767)</f>
        <v>0</v>
      </c>
      <c r="C768" s="244">
        <f>IF(T747&gt;0,(IF(C765&gt;0,ROUND(((C765-(C765*(B771+C771+D771)))/30),2),0)+IF(C767&gt;0,ROUND((C767/30),2),0))+(IF(IF(C765&gt;0,ROUND(((C765-(C765*(B771+C771+D771)))/30),2),0)+IF(C767&gt;0,ROUND((C767/30),2),0)&lt;ROUND((($F$1*B775)/30),2),(IF(C765+C767&gt;0,ROUND((($F$1*B775)/30),2)-(IF(C765&gt;0,ROUND(((C765-(C765*(B771+C771+D771)))/30),2),0)+IF(C767&gt;0,ROUND((C767/30),2),0)))),0)),0)</f>
        <v>0</v>
      </c>
      <c r="D768" s="244"/>
      <c r="E768" s="244">
        <f>IF(E767&gt;0,IF(ROUND(E765-((E765/30)*E766),2)-H770+O770&gt;0,ROUND(E765-((E765/30)*E766),2)-H770+O770,0),0)</f>
        <v>0</v>
      </c>
      <c r="F768" s="137"/>
      <c r="G768" s="139"/>
      <c r="H768" s="672" t="s">
        <v>183</v>
      </c>
      <c r="I768" s="673"/>
      <c r="J768" s="673"/>
      <c r="K768" s="673"/>
      <c r="L768" s="673"/>
      <c r="M768" s="674" t="s">
        <v>184</v>
      </c>
      <c r="N768" s="675"/>
      <c r="O768" s="260" t="s">
        <v>185</v>
      </c>
      <c r="P768" s="261" t="s">
        <v>186</v>
      </c>
      <c r="Q768" s="676" t="s">
        <v>187</v>
      </c>
      <c r="R768" s="677"/>
      <c r="S768" s="262">
        <f>ROUND((IF(S765-S766&gt;=0,S765-S766,0)+S767),0.1)</f>
        <v>0</v>
      </c>
      <c r="T768" s="263" t="str">
        <f>L$8</f>
        <v>styczeń</v>
      </c>
      <c r="U768" s="264" t="str">
        <f>N$8</f>
        <v>2011 r.</v>
      </c>
    </row>
    <row r="769" spans="1:21" ht="69.75" customHeight="1" thickBot="1" thickTop="1">
      <c r="A769" s="568"/>
      <c r="B769" s="699" t="s">
        <v>188</v>
      </c>
      <c r="C769" s="700"/>
      <c r="D769" s="700"/>
      <c r="E769" s="701"/>
      <c r="F769" s="265" t="s">
        <v>189</v>
      </c>
      <c r="G769" s="266" t="s">
        <v>190</v>
      </c>
      <c r="H769" s="267" t="s">
        <v>191</v>
      </c>
      <c r="I769" s="268" t="s">
        <v>192</v>
      </c>
      <c r="J769" s="269" t="s">
        <v>193</v>
      </c>
      <c r="K769" s="238" t="s">
        <v>194</v>
      </c>
      <c r="L769" s="270" t="s">
        <v>195</v>
      </c>
      <c r="M769" s="198" t="s">
        <v>196</v>
      </c>
      <c r="N769" s="271" t="s">
        <v>197</v>
      </c>
      <c r="O769" s="294" t="s">
        <v>198</v>
      </c>
      <c r="P769" s="273" t="s">
        <v>199</v>
      </c>
      <c r="Q769" s="340" t="s">
        <v>200</v>
      </c>
      <c r="R769" s="275" t="s">
        <v>201</v>
      </c>
      <c r="S769" s="276">
        <f>IF(ROUND((P746-P775-C775),0.1)&gt;0,ROUND((P746-P775-C775),0.1),0)</f>
        <v>0</v>
      </c>
      <c r="T769" s="277"/>
      <c r="U769" s="278"/>
    </row>
    <row r="770" spans="1:21" ht="81" customHeight="1" thickTop="1">
      <c r="A770" s="568"/>
      <c r="B770" s="279" t="s">
        <v>202</v>
      </c>
      <c r="C770" s="279" t="s">
        <v>203</v>
      </c>
      <c r="D770" s="279" t="s">
        <v>204</v>
      </c>
      <c r="E770" s="279" t="s">
        <v>205</v>
      </c>
      <c r="F770" s="279" t="s">
        <v>206</v>
      </c>
      <c r="G770" s="280">
        <f>ROUND((H770*G772),2)</f>
        <v>0</v>
      </c>
      <c r="H770" s="281">
        <f>Q747+O757</f>
        <v>0</v>
      </c>
      <c r="I770" s="282">
        <f>Q747+O757</f>
        <v>0</v>
      </c>
      <c r="J770" s="282">
        <f>Q747+O757</f>
        <v>0</v>
      </c>
      <c r="K770" s="282">
        <f>Q747+O757</f>
        <v>0</v>
      </c>
      <c r="L770" s="283">
        <f>Q747+H757+I757-O770+O757</f>
        <v>0</v>
      </c>
      <c r="M770" s="284">
        <f>IF(D765&gt;0,IF(D765&lt;$U$1,ROUND((($E$1/$U$1)*D765),2),$E$1))+IF(K762&gt;0,K762,0)</f>
        <v>0</v>
      </c>
      <c r="N770" s="285">
        <f>M770</f>
        <v>0</v>
      </c>
      <c r="O770" s="286">
        <f>SUM(H773:J773)</f>
        <v>0</v>
      </c>
      <c r="P770" s="287">
        <f>IF(P771&gt;0,1,0)</f>
        <v>0</v>
      </c>
      <c r="Q770" s="288">
        <f>ROUND((H770-O757-P775+H757+I757)*$R$3,2)</f>
        <v>0</v>
      </c>
      <c r="R770" s="681" t="s">
        <v>207</v>
      </c>
      <c r="S770" s="683" t="s">
        <v>311</v>
      </c>
      <c r="T770" s="289"/>
      <c r="U770" s="278"/>
    </row>
    <row r="771" spans="1:21" ht="38.25" customHeight="1">
      <c r="A771" s="568"/>
      <c r="B771" s="158">
        <f>IF(H770&gt;0,B$2,0)</f>
        <v>0</v>
      </c>
      <c r="C771" s="158">
        <f>IF(I770&gt;0,H$4,0)</f>
        <v>0</v>
      </c>
      <c r="D771" s="158">
        <f>IF(J770&gt;0,F$2,0)</f>
        <v>0</v>
      </c>
      <c r="E771" s="158" t="s">
        <v>208</v>
      </c>
      <c r="F771" s="290" t="s">
        <v>209</v>
      </c>
      <c r="G771" s="291">
        <v>0</v>
      </c>
      <c r="H771" s="685" t="s">
        <v>210</v>
      </c>
      <c r="I771" s="686"/>
      <c r="J771" s="686"/>
      <c r="K771" s="686"/>
      <c r="L771" s="686"/>
      <c r="M771" s="292" t="s">
        <v>211</v>
      </c>
      <c r="N771" s="293" t="s">
        <v>212</v>
      </c>
      <c r="O771" s="294" t="s">
        <v>213</v>
      </c>
      <c r="P771" s="52">
        <f>IF(I770&lt;$E$1,IF(B775=1,IF(T752=0,ROUND((I770*$L$2),2),0),0),ROUND((I770*$L$2),2))</f>
        <v>0</v>
      </c>
      <c r="Q771" s="295" t="s">
        <v>214</v>
      </c>
      <c r="R771" s="682"/>
      <c r="S771" s="684"/>
      <c r="T771" s="289"/>
      <c r="U771" s="278"/>
    </row>
    <row r="772" spans="1:21" ht="42.75" customHeight="1" thickBot="1">
      <c r="A772" s="568"/>
      <c r="B772" s="158">
        <f>IF(H770&gt;0,B$2,0)</f>
        <v>0</v>
      </c>
      <c r="C772" s="158">
        <f>IF(I770&gt;0,D$2,0)</f>
        <v>0</v>
      </c>
      <c r="D772" s="158" t="s">
        <v>208</v>
      </c>
      <c r="E772" s="158">
        <f>IF(K770&gt;0,H$2,0)</f>
        <v>0</v>
      </c>
      <c r="F772" s="158">
        <f>IF(L770&gt;0,J$2,0)</f>
        <v>0</v>
      </c>
      <c r="G772" s="158">
        <f>IF(G771&gt;0,L$1,0)</f>
        <v>0</v>
      </c>
      <c r="H772" s="296" t="s">
        <v>215</v>
      </c>
      <c r="I772" s="297" t="s">
        <v>215</v>
      </c>
      <c r="J772" s="297" t="s">
        <v>215</v>
      </c>
      <c r="K772" s="298" t="s">
        <v>209</v>
      </c>
      <c r="L772" s="299" t="s">
        <v>215</v>
      </c>
      <c r="M772" s="300">
        <f>ROUND(M770*(B$2+B$2),2)</f>
        <v>0</v>
      </c>
      <c r="N772" s="301">
        <f>ROUND(N770*(D$2+H$4),2)</f>
        <v>0</v>
      </c>
      <c r="O772" s="302">
        <f>H775+I775+K775+G770</f>
        <v>0</v>
      </c>
      <c r="P772" s="303" t="s">
        <v>216</v>
      </c>
      <c r="Q772" s="304">
        <f>ROUND((L770*J$2),2)</f>
        <v>0</v>
      </c>
      <c r="R772" s="305" t="s">
        <v>217</v>
      </c>
      <c r="S772" s="684"/>
      <c r="T772" s="289"/>
      <c r="U772" s="278"/>
    </row>
    <row r="773" spans="1:21" ht="53.25" customHeight="1" thickBot="1" thickTop="1">
      <c r="A773" s="568"/>
      <c r="B773" s="141">
        <f>IF(B771+B772&gt;0,1,0)</f>
        <v>0</v>
      </c>
      <c r="C773" s="141">
        <f>IF(C771+C772&gt;0,1,0)</f>
        <v>0</v>
      </c>
      <c r="D773" s="141">
        <f>IF(D771&gt;0,1,0)</f>
        <v>0</v>
      </c>
      <c r="E773" s="141">
        <f>IF(E772&gt;0,1,0)</f>
        <v>0</v>
      </c>
      <c r="F773" s="141">
        <f>IF(F772&gt;0,1,0)</f>
        <v>0</v>
      </c>
      <c r="G773" s="141">
        <f>IF(G772&gt;0,1,0)</f>
        <v>0</v>
      </c>
      <c r="H773" s="306">
        <f>ROUND(H770*B771,2)</f>
        <v>0</v>
      </c>
      <c r="I773" s="307">
        <f>ROUND(I770*C771,2)</f>
        <v>0</v>
      </c>
      <c r="J773" s="307">
        <f>ROUND(J770*D771,2)</f>
        <v>0</v>
      </c>
      <c r="K773" s="244" t="s">
        <v>209</v>
      </c>
      <c r="L773" s="307">
        <f>IF(S764&gt;=ROUND(L770*F772,2),ROUND(L770*F772,2),S764)</f>
        <v>0</v>
      </c>
      <c r="M773" s="687" t="s">
        <v>218</v>
      </c>
      <c r="N773" s="688"/>
      <c r="O773" s="689" t="s">
        <v>219</v>
      </c>
      <c r="P773" s="308">
        <f>IF(P774&gt;0,1,0)</f>
        <v>0</v>
      </c>
      <c r="Q773" s="309" t="s">
        <v>220</v>
      </c>
      <c r="R773" s="310">
        <f>IF(B750=G750,H751+I751+J751+L751+O751+R751+IF(K751&gt;0,ROUND((K751/K749),2),0),0)+IF(B750&lt;G750,IF(B750&gt;0,ROUND((((H751+J751)/B750)*(G750-B763)),2)+IF(K751&gt;0,ROUND((K751/K749),2),0)+I751+L751+O751+R751,0),0)</f>
        <v>0</v>
      </c>
      <c r="S773" s="235">
        <f>IF(S765-S766&lt;0,S766-S765,0)</f>
        <v>0</v>
      </c>
      <c r="T773" s="289"/>
      <c r="U773" s="278"/>
    </row>
    <row r="774" spans="1:22" ht="63" customHeight="1" thickBot="1" thickTop="1">
      <c r="A774" s="568"/>
      <c r="B774" s="311" t="s">
        <v>221</v>
      </c>
      <c r="C774" s="311" t="s">
        <v>222</v>
      </c>
      <c r="D774" s="311" t="s">
        <v>34</v>
      </c>
      <c r="E774" s="146" t="s">
        <v>223</v>
      </c>
      <c r="F774" s="312" t="s">
        <v>224</v>
      </c>
      <c r="G774" s="139">
        <f>IF(Q770&gt;Q764,Q770-Q764,0)</f>
        <v>0</v>
      </c>
      <c r="H774" s="313" t="s">
        <v>225</v>
      </c>
      <c r="I774" s="314" t="s">
        <v>225</v>
      </c>
      <c r="J774" s="298" t="s">
        <v>209</v>
      </c>
      <c r="K774" s="315" t="s">
        <v>225</v>
      </c>
      <c r="L774" s="316" t="s">
        <v>226</v>
      </c>
      <c r="M774" s="317" t="s">
        <v>227</v>
      </c>
      <c r="N774" s="318" t="s">
        <v>228</v>
      </c>
      <c r="O774" s="690"/>
      <c r="P774" s="319">
        <f>ROUND(N$2*H770,2)</f>
        <v>0</v>
      </c>
      <c r="Q774" s="320">
        <f>IF(D765&gt;0,$U$2,0)</f>
        <v>0</v>
      </c>
      <c r="R774" s="321" t="s">
        <v>229</v>
      </c>
      <c r="S774" s="322" t="s">
        <v>230</v>
      </c>
      <c r="T774" s="691" t="s">
        <v>231</v>
      </c>
      <c r="U774" s="702"/>
      <c r="V774" s="323">
        <f>IF(ISBLANK(AM746),0,IF(IF(AF761&gt;=AI$2,AI$2,AF761)&gt;0,IF(AF761&gt;=AI$2,AI$2,AF761),0))</f>
        <v>0</v>
      </c>
    </row>
    <row r="775" spans="1:22" ht="42" customHeight="1" thickBot="1" thickTop="1">
      <c r="A775" s="570"/>
      <c r="B775" s="324">
        <f>IF(ISBLANK(T747),0,1)</f>
        <v>0</v>
      </c>
      <c r="C775" s="324">
        <f>IF(ISBLANK(T747),0,IF(IF(M762&gt;=P$2,P$2,M762)&gt;0,IF(M762&gt;=P$2,P$2,M762),0))</f>
        <v>0</v>
      </c>
      <c r="D775" s="324">
        <f>IF(ISBLANK(T747),0,S$1)</f>
        <v>0</v>
      </c>
      <c r="E775" s="325">
        <f>IF(G750&gt;0,$N$3,0)</f>
        <v>0</v>
      </c>
      <c r="F775" s="326">
        <f>O770+O772+P771+P774+L773+S768</f>
        <v>0</v>
      </c>
      <c r="G775" s="327">
        <f>IF(G774&gt;0,1,0)</f>
        <v>0</v>
      </c>
      <c r="H775" s="328">
        <f>ROUND(H770*B771,2)</f>
        <v>0</v>
      </c>
      <c r="I775" s="329">
        <f>ROUND(I770*C772,2)</f>
        <v>0</v>
      </c>
      <c r="J775" s="182" t="s">
        <v>209</v>
      </c>
      <c r="K775" s="330">
        <f>ROUND(K770*E772,2)</f>
        <v>0</v>
      </c>
      <c r="L775" s="185">
        <f>IF(S764&gt;=ROUND((H770-O757-P775+H757+I757)*$R$3,2),ROUND((H770-O757-P775+H757+I757)*$R$3,2),S764)</f>
        <v>0</v>
      </c>
      <c r="M775" s="179">
        <f>O770+O772</f>
        <v>0</v>
      </c>
      <c r="N775" s="331">
        <f>M775+L773</f>
        <v>0</v>
      </c>
      <c r="O775" s="332">
        <f>SUM(M772:N772)</f>
        <v>0</v>
      </c>
      <c r="P775" s="333">
        <f>ROUND(Q747*B771,2)+ROUND(Q747*C771,2)+ROUND(Q747*D771,2)</f>
        <v>0</v>
      </c>
      <c r="Q775" s="334">
        <f>IF(D765&gt;0,ROUND(($U$2*J$2),2),0)</f>
        <v>0</v>
      </c>
      <c r="R775" s="335">
        <f>IF(B750&gt;=G750/2,IF(B750=G750,H751+I751+J751+L751+O751+P751+R751+IF(K751&gt;0,ROUND((K751/K749),2),0),ROUND((((H751+J751+L751)/B750)*(G750-B763)),2)+IF(K751&gt;0,ROUND((K751/K749),2),0)+I751+O751+P751+R751),0)</f>
        <v>0</v>
      </c>
      <c r="S775" s="336">
        <f>IF(P746-O770-S768-L773&gt;0,P746-O770-S768-L773,0)</f>
        <v>0</v>
      </c>
      <c r="T775" s="693" t="s">
        <v>232</v>
      </c>
      <c r="U775" s="703"/>
      <c r="V775" s="323">
        <f>IF(ISBLANK(AM747),0,IF(IF(AF762&gt;=AJ$2,AJ$2,AF762)&gt;0,IF(AF762&gt;=AJ$2,AJ$2,AF762),0))</f>
        <v>0</v>
      </c>
    </row>
    <row r="776" ht="24" customHeight="1" thickTop="1"/>
    <row r="777" spans="1:23" ht="33" customHeight="1" thickBot="1">
      <c r="A777" s="111" t="s">
        <v>72</v>
      </c>
      <c r="B777" s="112" t="s">
        <v>73</v>
      </c>
      <c r="C777" s="113"/>
      <c r="D777" s="113"/>
      <c r="E777" s="114"/>
      <c r="F777" s="553" t="s">
        <v>74</v>
      </c>
      <c r="G777" s="555" t="s">
        <v>75</v>
      </c>
      <c r="H777" s="557" t="s">
        <v>76</v>
      </c>
      <c r="I777" s="557"/>
      <c r="J777" s="558"/>
      <c r="K777" s="559"/>
      <c r="L777" s="560"/>
      <c r="M777" s="560"/>
      <c r="N777" s="560"/>
      <c r="O777" s="561"/>
      <c r="P777" s="559"/>
      <c r="Q777" s="560"/>
      <c r="R777" s="560"/>
      <c r="S777" s="560"/>
      <c r="T777" s="565" t="s">
        <v>77</v>
      </c>
      <c r="U777" s="566"/>
      <c r="V777" s="102"/>
      <c r="W777" s="115"/>
    </row>
    <row r="778" spans="1:23" ht="44.25" customHeight="1" thickBot="1" thickTop="1">
      <c r="A778" s="567">
        <f>A746+1</f>
        <v>25</v>
      </c>
      <c r="B778" s="571" t="s">
        <v>79</v>
      </c>
      <c r="C778" s="571" t="s">
        <v>80</v>
      </c>
      <c r="D778" s="573" t="s">
        <v>81</v>
      </c>
      <c r="E778" s="573"/>
      <c r="F778" s="554"/>
      <c r="G778" s="556"/>
      <c r="H778" s="574" t="s">
        <v>82</v>
      </c>
      <c r="I778" s="574"/>
      <c r="J778" s="574"/>
      <c r="K778" s="574"/>
      <c r="L778" s="575">
        <f>P778+S784</f>
        <v>0</v>
      </c>
      <c r="M778" s="576"/>
      <c r="N778" s="577" t="s">
        <v>83</v>
      </c>
      <c r="O778" s="578"/>
      <c r="P778" s="575">
        <f>Q779+M784</f>
        <v>0</v>
      </c>
      <c r="Q778" s="576"/>
      <c r="R778" s="119"/>
      <c r="S778" s="120"/>
      <c r="T778" s="121"/>
      <c r="U778" s="122"/>
      <c r="V778" s="102"/>
      <c r="W778" s="115"/>
    </row>
    <row r="779" spans="1:23" ht="36.75" customHeight="1">
      <c r="A779" s="568"/>
      <c r="B779" s="572"/>
      <c r="C779" s="572"/>
      <c r="D779" s="124" t="s">
        <v>85</v>
      </c>
      <c r="E779" s="124" t="s">
        <v>86</v>
      </c>
      <c r="F779" s="554"/>
      <c r="G779" s="556"/>
      <c r="H779" s="562" t="s">
        <v>87</v>
      </c>
      <c r="I779" s="563"/>
      <c r="J779" s="563"/>
      <c r="K779" s="563"/>
      <c r="L779" s="563"/>
      <c r="M779" s="563"/>
      <c r="N779" s="563"/>
      <c r="O779" s="563"/>
      <c r="P779" s="564"/>
      <c r="Q779" s="579">
        <f>SUM(H783:S783)</f>
        <v>0</v>
      </c>
      <c r="R779" s="580"/>
      <c r="S779" s="125"/>
      <c r="T779" s="581"/>
      <c r="U779" s="582"/>
      <c r="V779" s="102"/>
      <c r="W779" s="115"/>
    </row>
    <row r="780" spans="1:23" ht="38.25" customHeight="1">
      <c r="A780" s="568"/>
      <c r="B780" s="572"/>
      <c r="C780" s="126"/>
      <c r="D780" s="124" t="s">
        <v>89</v>
      </c>
      <c r="E780" s="124" t="s">
        <v>89</v>
      </c>
      <c r="F780" s="554"/>
      <c r="G780" s="127"/>
      <c r="H780" s="128" t="s">
        <v>90</v>
      </c>
      <c r="I780" s="129" t="s">
        <v>91</v>
      </c>
      <c r="J780" s="129" t="s">
        <v>92</v>
      </c>
      <c r="K780" s="130" t="s">
        <v>93</v>
      </c>
      <c r="L780" s="583" t="s">
        <v>94</v>
      </c>
      <c r="M780" s="583" t="s">
        <v>95</v>
      </c>
      <c r="N780" s="583" t="s">
        <v>96</v>
      </c>
      <c r="O780" s="585" t="s">
        <v>97</v>
      </c>
      <c r="P780" s="583" t="s">
        <v>98</v>
      </c>
      <c r="Q780" s="587" t="s">
        <v>99</v>
      </c>
      <c r="R780" s="589" t="s">
        <v>100</v>
      </c>
      <c r="S780" s="591" t="s">
        <v>101</v>
      </c>
      <c r="T780" s="581"/>
      <c r="U780" s="582"/>
      <c r="V780" s="102"/>
      <c r="W780" s="115"/>
    </row>
    <row r="781" spans="1:23" ht="30" customHeight="1">
      <c r="A781" s="568"/>
      <c r="B781" s="572"/>
      <c r="C781" s="131"/>
      <c r="D781" s="131"/>
      <c r="E781" s="131"/>
      <c r="F781" s="554"/>
      <c r="G781" s="127"/>
      <c r="H781" s="132" t="s">
        <v>103</v>
      </c>
      <c r="I781" s="133" t="s">
        <v>104</v>
      </c>
      <c r="J781" s="134">
        <v>0</v>
      </c>
      <c r="K781" s="135">
        <v>1</v>
      </c>
      <c r="L781" s="584"/>
      <c r="M781" s="584"/>
      <c r="N781" s="584"/>
      <c r="O781" s="586"/>
      <c r="P781" s="584"/>
      <c r="Q781" s="588"/>
      <c r="R781" s="590"/>
      <c r="S781" s="592"/>
      <c r="T781" s="581"/>
      <c r="U781" s="582"/>
      <c r="V781" s="102"/>
      <c r="W781" s="115"/>
    </row>
    <row r="782" spans="1:21" ht="51" customHeight="1">
      <c r="A782" s="568"/>
      <c r="B782" s="137">
        <f>G782</f>
        <v>0</v>
      </c>
      <c r="C782" s="137"/>
      <c r="D782" s="137"/>
      <c r="E782" s="138"/>
      <c r="F782" s="138"/>
      <c r="G782" s="139">
        <f>B$1*B807</f>
        <v>0</v>
      </c>
      <c r="H782" s="140">
        <f aca="true" t="shared" si="72" ref="H782:S782">IF(H783&gt;0,1,0)</f>
        <v>0</v>
      </c>
      <c r="I782" s="141">
        <f t="shared" si="72"/>
        <v>0</v>
      </c>
      <c r="J782" s="141">
        <f t="shared" si="72"/>
        <v>0</v>
      </c>
      <c r="K782" s="142">
        <f t="shared" si="72"/>
        <v>0</v>
      </c>
      <c r="L782" s="142">
        <f t="shared" si="72"/>
        <v>0</v>
      </c>
      <c r="M782" s="142">
        <f t="shared" si="72"/>
        <v>0</v>
      </c>
      <c r="N782" s="142">
        <f t="shared" si="72"/>
        <v>0</v>
      </c>
      <c r="O782" s="141">
        <f t="shared" si="72"/>
        <v>0</v>
      </c>
      <c r="P782" s="142">
        <f t="shared" si="72"/>
        <v>0</v>
      </c>
      <c r="Q782" s="142">
        <f t="shared" si="72"/>
        <v>0</v>
      </c>
      <c r="R782" s="143">
        <f t="shared" si="72"/>
        <v>0</v>
      </c>
      <c r="S782" s="144">
        <f t="shared" si="72"/>
        <v>0</v>
      </c>
      <c r="T782" s="593"/>
      <c r="U782" s="594"/>
    </row>
    <row r="783" spans="1:22" ht="49.5" customHeight="1" thickBot="1">
      <c r="A783" s="568"/>
      <c r="B783" s="595" t="s">
        <v>106</v>
      </c>
      <c r="C783" s="595" t="s">
        <v>107</v>
      </c>
      <c r="D783" s="596" t="s">
        <v>108</v>
      </c>
      <c r="E783" s="148" t="s">
        <v>109</v>
      </c>
      <c r="F783" s="149"/>
      <c r="G783" s="597" t="s">
        <v>110</v>
      </c>
      <c r="H783" s="150">
        <f>IF(B782+B786+B793+B795+C792+D786+F783&gt;0,IF(B798&gt;0,B798-(IF(E786+F786+G786+B790+C790+D790+E790+F790&gt;0,ROUND((B798/30)*IF(E786+F786+G786+B790+C790+D790+E790+F790&lt;31,E786+F786+G786+B790+C790+D790+E790+F790,30),2),0)+ROUND(((B798/G782)*(B786+B793+B795+C792+D786)),2)),0),0)+IF(B782&gt;G782,IF(B798&gt;0,(B782-G782)*B800,0),0)+IF(B799&gt;0,B799*B782,0)-IF(IF(B782+B786+B793+B795+C792+D786+F783&gt;0,IF(B798&gt;0,B798-(IF(E786+F786+G786+B790+C790+D790+E790+F790&gt;0,ROUND((B798/30)*IF(E786+F786+G786+B790+C790+D790+E790+F790&lt;31,E786+F786+G786+B790+C790+D790+E790+F790,30),2),0)+ROUND(((B798/G782)*(B786+B793+B795+C792+D786)),2)),0),0)&lt;0,IF(B782+B786+B793+B795+C792+D786+F783&gt;0,IF(B798&gt;0,B798-(IF(E786+F786+G786+B790+C790+D790+E790+F790&gt;0,ROUND((B798/30)*IF(E786+F786+G786+B790+C790+D790+E790+F790&lt;31,E786+F786+G786+B790+C790+D790+E790+F790,30),2),0)+ROUND(((B798/G782)*(B786+B793+B795+C792+D786)),2)),0),0),0)</f>
        <v>0</v>
      </c>
      <c r="I783" s="151">
        <f>ROUND(D782*ROUND(B800*150%,2)+E782*ROUND(B800*200%,2),2)</f>
        <v>0</v>
      </c>
      <c r="J783" s="151">
        <f>ROUND((J781*H783),2)</f>
        <v>0</v>
      </c>
      <c r="K783" s="151"/>
      <c r="L783" s="151">
        <f>IF(C782&gt;0,C782*ROUND(B800*U$3,2),0)+IF(U$3=0,IF(C782&gt;0,C782*ROUND(20%*ROUND(E$1/G782,2),2),0))</f>
        <v>0</v>
      </c>
      <c r="M783" s="151">
        <f>IF(B786&gt;0,ROUND((B786*C795),2),0)</f>
        <v>0</v>
      </c>
      <c r="N783" s="151">
        <f>IF(B782+D782+E782+F782&gt;0,ROUND((((H783+I783+J783+L783+O783)/(B782+D782+E782+F782))*D786),2),B800*D786)</f>
        <v>0</v>
      </c>
      <c r="O783" s="151">
        <f>ROUND((F782*B800),2)</f>
        <v>0</v>
      </c>
      <c r="P783" s="151">
        <f>IF(C786&gt;0,ROUND((D795/($I$1*8*B807)),2)*C786,0)</f>
        <v>0</v>
      </c>
      <c r="Q783" s="151"/>
      <c r="R783" s="152"/>
      <c r="S783" s="153">
        <f>IF(G800&gt;500,G800-500,0)+IF(F800&gt;190,F800-190,0)</f>
        <v>0</v>
      </c>
      <c r="T783" s="593"/>
      <c r="U783" s="594"/>
      <c r="V783" s="154"/>
    </row>
    <row r="784" spans="1:21" ht="57" customHeight="1">
      <c r="A784" s="568"/>
      <c r="B784" s="554"/>
      <c r="C784" s="554"/>
      <c r="D784" s="554"/>
      <c r="E784" s="599" t="s">
        <v>112</v>
      </c>
      <c r="F784" s="599"/>
      <c r="G784" s="598"/>
      <c r="H784" s="600" t="s">
        <v>113</v>
      </c>
      <c r="I784" s="601"/>
      <c r="J784" s="601"/>
      <c r="K784" s="601"/>
      <c r="L784" s="601"/>
      <c r="M784" s="602">
        <f>H789+I789+M785</f>
        <v>0</v>
      </c>
      <c r="N784" s="603"/>
      <c r="O784" s="604" t="s">
        <v>114</v>
      </c>
      <c r="P784" s="604"/>
      <c r="Q784" s="604"/>
      <c r="R784" s="604"/>
      <c r="S784" s="156">
        <f>S785+O789</f>
        <v>0</v>
      </c>
      <c r="T784" s="605"/>
      <c r="U784" s="606"/>
    </row>
    <row r="785" spans="1:21" ht="38.25" customHeight="1">
      <c r="A785" s="568"/>
      <c r="B785" s="157"/>
      <c r="C785" s="131"/>
      <c r="D785" s="131"/>
      <c r="E785" s="158">
        <v>0.8</v>
      </c>
      <c r="F785" s="158">
        <v>1</v>
      </c>
      <c r="G785" s="159">
        <v>0.8</v>
      </c>
      <c r="H785" s="607" t="s">
        <v>115</v>
      </c>
      <c r="I785" s="608"/>
      <c r="J785" s="609" t="s">
        <v>116</v>
      </c>
      <c r="K785" s="610"/>
      <c r="L785" s="610"/>
      <c r="M785" s="611">
        <f>SUM(J789:N789)</f>
        <v>0</v>
      </c>
      <c r="N785" s="612"/>
      <c r="O785" s="160" t="s">
        <v>117</v>
      </c>
      <c r="P785" s="613" t="s">
        <v>118</v>
      </c>
      <c r="Q785" s="614"/>
      <c r="R785" s="615"/>
      <c r="S785" s="161">
        <f>SUM(P789:S789)</f>
        <v>0</v>
      </c>
      <c r="T785" s="616"/>
      <c r="U785" s="617"/>
    </row>
    <row r="786" spans="1:21" ht="40.5" customHeight="1">
      <c r="A786" s="568"/>
      <c r="B786" s="137"/>
      <c r="C786" s="137"/>
      <c r="D786" s="137"/>
      <c r="E786" s="137"/>
      <c r="F786" s="137"/>
      <c r="G786" s="139"/>
      <c r="H786" s="618" t="s">
        <v>119</v>
      </c>
      <c r="I786" s="162"/>
      <c r="J786" s="620" t="s">
        <v>120</v>
      </c>
      <c r="K786" s="595" t="s">
        <v>121</v>
      </c>
      <c r="L786" s="595" t="s">
        <v>122</v>
      </c>
      <c r="M786" s="595" t="s">
        <v>123</v>
      </c>
      <c r="N786" s="163" t="s">
        <v>124</v>
      </c>
      <c r="O786" s="622" t="s">
        <v>125</v>
      </c>
      <c r="P786" s="624" t="s">
        <v>126</v>
      </c>
      <c r="Q786" s="584" t="s">
        <v>127</v>
      </c>
      <c r="R786" s="634" t="s">
        <v>128</v>
      </c>
      <c r="S786" s="633" t="s">
        <v>129</v>
      </c>
      <c r="T786" s="164"/>
      <c r="U786" s="165"/>
    </row>
    <row r="787" spans="1:21" ht="39.75" customHeight="1">
      <c r="A787" s="568"/>
      <c r="B787" s="571" t="s">
        <v>110</v>
      </c>
      <c r="C787" s="571" t="s">
        <v>130</v>
      </c>
      <c r="D787" s="571" t="s">
        <v>131</v>
      </c>
      <c r="E787" s="571" t="s">
        <v>132</v>
      </c>
      <c r="F787" s="571" t="s">
        <v>110</v>
      </c>
      <c r="G787" s="166" t="s">
        <v>133</v>
      </c>
      <c r="H787" s="619"/>
      <c r="I787" s="167"/>
      <c r="J787" s="621"/>
      <c r="K787" s="554"/>
      <c r="L787" s="554"/>
      <c r="M787" s="554"/>
      <c r="N787" s="168" t="s">
        <v>134</v>
      </c>
      <c r="O787" s="623"/>
      <c r="P787" s="624"/>
      <c r="Q787" s="584"/>
      <c r="R787" s="634"/>
      <c r="S787" s="633"/>
      <c r="T787" s="627">
        <f>I799-S800-P799</f>
        <v>0</v>
      </c>
      <c r="U787" s="628"/>
    </row>
    <row r="788" spans="1:21" ht="35.25" customHeight="1">
      <c r="A788" s="568"/>
      <c r="B788" s="572"/>
      <c r="C788" s="572"/>
      <c r="D788" s="572"/>
      <c r="E788" s="572"/>
      <c r="F788" s="572"/>
      <c r="G788" s="139"/>
      <c r="H788" s="169">
        <f aca="true" t="shared" si="73" ref="H788:M788">IF(H789&gt;0,1,0)</f>
        <v>0</v>
      </c>
      <c r="I788" s="170">
        <f t="shared" si="73"/>
        <v>0</v>
      </c>
      <c r="J788" s="171">
        <f t="shared" si="73"/>
        <v>0</v>
      </c>
      <c r="K788" s="172">
        <f t="shared" si="73"/>
        <v>0</v>
      </c>
      <c r="L788" s="173">
        <f t="shared" si="73"/>
        <v>0</v>
      </c>
      <c r="M788" s="173">
        <f t="shared" si="73"/>
        <v>0</v>
      </c>
      <c r="N788" s="174">
        <v>0</v>
      </c>
      <c r="O788" s="175">
        <f>IF(O789&gt;0,1,0)</f>
        <v>0</v>
      </c>
      <c r="P788" s="171">
        <f>IF(P789&gt;0,1,0)</f>
        <v>0</v>
      </c>
      <c r="Q788" s="173">
        <f>IF(Q789&gt;0,1,0)</f>
        <v>0</v>
      </c>
      <c r="R788" s="173">
        <f>IF(R789&gt;0,1,0)</f>
        <v>0</v>
      </c>
      <c r="S788" s="176">
        <f>IF(S789&gt;0,1,0)</f>
        <v>0</v>
      </c>
      <c r="T788" s="627"/>
      <c r="U788" s="628"/>
    </row>
    <row r="789" spans="1:21" ht="36" customHeight="1" thickBot="1">
      <c r="A789" s="568"/>
      <c r="B789" s="177">
        <v>1</v>
      </c>
      <c r="C789" s="177">
        <v>0.8</v>
      </c>
      <c r="D789" s="572"/>
      <c r="E789" s="572"/>
      <c r="F789" s="177">
        <v>0.7</v>
      </c>
      <c r="G789" s="178">
        <v>0</v>
      </c>
      <c r="H789" s="179">
        <f>IF(E786&gt;0,ROUND((C800*E785),2)*E786,0)+IF(F786&gt;0,C800*F786,0)</f>
        <v>0</v>
      </c>
      <c r="I789" s="180"/>
      <c r="J789" s="181">
        <f>IF(G782&gt;0,IF(B782&gt;=G782,E795-((E795/22)*F795),(E795-(ROUND(((E795/22)*(((G782-B782)/8*B807)+F795)),2))))-IF(B782=0,0,0)-IF(B782&lt;=F795*8*B807,E795-ROUND(((E795/22)*(((G782-B782)/8*B807)+F795)),2),0),0)</f>
        <v>0</v>
      </c>
      <c r="K789" s="182">
        <f>G798-R789</f>
        <v>0</v>
      </c>
      <c r="L789" s="182">
        <f>IF(F800&gt;0,IF(F800&lt;190,F800,190),0)</f>
        <v>0</v>
      </c>
      <c r="M789" s="182"/>
      <c r="N789" s="183">
        <f>IF(N788&gt;0,L$3*B807*N788,0)</f>
        <v>0</v>
      </c>
      <c r="O789" s="184">
        <f>IF(C807&lt;=$P$2,IF(G800&gt;0,IF(G800&lt;500,G800,500),0),0)</f>
        <v>0</v>
      </c>
      <c r="P789" s="181">
        <f>IF(G795&gt;0,ROUND(((G795/G782)*B782),2),0)+G794</f>
        <v>0</v>
      </c>
      <c r="Q789" s="182">
        <f>IF(F793&gt;0,ROUND((F793/G782)*B782,2),0)</f>
        <v>0</v>
      </c>
      <c r="R789" s="182">
        <f>IF(G798&gt;0,IF(G798&lt;380,G798,380),0)</f>
        <v>0</v>
      </c>
      <c r="S789" s="185"/>
      <c r="T789" s="627"/>
      <c r="U789" s="628"/>
    </row>
    <row r="790" spans="1:21" ht="60" customHeight="1" thickBot="1" thickTop="1">
      <c r="A790" s="568"/>
      <c r="B790" s="137"/>
      <c r="C790" s="137"/>
      <c r="D790" s="137"/>
      <c r="E790" s="137"/>
      <c r="F790" s="137"/>
      <c r="G790" s="139">
        <f>IF(L778+L791-Q789-P789-K799-J789&gt;$F$1,IF(G789&gt;0,IF(((H799-S800-L805-L799-J789-K789-L789-O802+P807)*(100%-G789))&gt;=(($F$1*B807)-IF(ROUND(((ROUND(($F$1-C807),0.1)*E807)-D807),0.1)&gt;0,ROUND(((ROUND(($F$1-C807),0.1)*E807)-D807),0.1),0)),((H799-S800-L805-L799-J789-K789-L789-O802+P807)*G789)))+IF(G789&gt;0,IF(((H799-S800-L805-L799-J789-K789-L789-O802+P807)*(100%-G789))&lt;(($F$1*B807)-IF(ROUND(((ROUND(($F$1-C807),0.1)*E807)-D807),0.1)&gt;0,ROUND(((ROUND(($F$1-C807),0.1)*E807)-D807),0.1),0)),(H799-S800-L805-L799-J789-K789-L789-O802+P807)-(($F$1*B807)-IF(ROUND(((ROUND(($F$1-C807),0.1)*E807)-D807),0.1)&gt;0,ROUND(((ROUND(($F$1-C807),0.1)*E807)-D807),0.1),0)))),0)</f>
        <v>0</v>
      </c>
      <c r="H790" s="629" t="s">
        <v>135</v>
      </c>
      <c r="I790" s="630"/>
      <c r="J790" s="630"/>
      <c r="K790" s="575">
        <f>L791+P790</f>
        <v>0</v>
      </c>
      <c r="L790" s="576"/>
      <c r="M790" s="631" t="s">
        <v>136</v>
      </c>
      <c r="N790" s="632"/>
      <c r="O790" s="632"/>
      <c r="P790" s="575">
        <f>P791+S791</f>
        <v>0</v>
      </c>
      <c r="Q790" s="575"/>
      <c r="R790" s="186"/>
      <c r="S790" s="186"/>
      <c r="T790" s="187">
        <v>200</v>
      </c>
      <c r="U790" s="188">
        <f>ROUND(((1400/'[1]Li-pł zlec'!$V$1)*'[1]LI-PŁ-prac'!T790),2)+((H789+L791)-ROUND(((H789+L791)*$N$3),2))+O792+P792+P794+R794+S794-O799-L799-M799</f>
        <v>1750</v>
      </c>
    </row>
    <row r="791" spans="1:21" ht="119.25" customHeight="1">
      <c r="A791" s="568"/>
      <c r="B791" s="189" t="s">
        <v>137</v>
      </c>
      <c r="C791" s="190" t="s">
        <v>138</v>
      </c>
      <c r="D791" s="595" t="s">
        <v>139</v>
      </c>
      <c r="E791" s="649" t="s">
        <v>307</v>
      </c>
      <c r="F791" s="191" t="s">
        <v>140</v>
      </c>
      <c r="G791" s="192" t="s">
        <v>141</v>
      </c>
      <c r="H791" s="651" t="s">
        <v>142</v>
      </c>
      <c r="I791" s="652"/>
      <c r="J791" s="652"/>
      <c r="K791" s="652"/>
      <c r="L791" s="193">
        <f>SUM(H794:L794)</f>
        <v>0</v>
      </c>
      <c r="M791" s="625"/>
      <c r="N791" s="626"/>
      <c r="O791" s="626"/>
      <c r="P791" s="193"/>
      <c r="Q791" s="635"/>
      <c r="R791" s="636"/>
      <c r="S791" s="194"/>
      <c r="T791" s="637"/>
      <c r="U791" s="638"/>
    </row>
    <row r="792" spans="1:21" ht="141" customHeight="1" thickBot="1">
      <c r="A792" s="568"/>
      <c r="B792" s="195" t="s">
        <v>143</v>
      </c>
      <c r="C792" s="196"/>
      <c r="D792" s="554"/>
      <c r="E792" s="650"/>
      <c r="F792" s="197">
        <f>IF(F793&gt;0,1,0)</f>
        <v>0</v>
      </c>
      <c r="G792" s="155" t="s">
        <v>308</v>
      </c>
      <c r="H792" s="198" t="s">
        <v>144</v>
      </c>
      <c r="I792" s="199" t="s">
        <v>145</v>
      </c>
      <c r="J792" s="199" t="s">
        <v>146</v>
      </c>
      <c r="K792" s="199" t="s">
        <v>147</v>
      </c>
      <c r="L792" s="200" t="s">
        <v>148</v>
      </c>
      <c r="M792" s="201"/>
      <c r="N792" s="202"/>
      <c r="O792" s="203"/>
      <c r="P792" s="204"/>
      <c r="Q792" s="205"/>
      <c r="R792" s="206"/>
      <c r="S792" s="207"/>
      <c r="T792" s="637"/>
      <c r="U792" s="638"/>
    </row>
    <row r="793" spans="1:21" ht="51.75" customHeight="1">
      <c r="A793" s="568"/>
      <c r="B793" s="208"/>
      <c r="C793" s="595" t="s">
        <v>149</v>
      </c>
      <c r="D793" s="554"/>
      <c r="E793" s="209"/>
      <c r="F793" s="210">
        <f>IF(T779&gt;0,$H$3,0)</f>
        <v>0</v>
      </c>
      <c r="G793" s="211">
        <f>IF(G794+G795&gt;0,1,0)</f>
        <v>0</v>
      </c>
      <c r="H793" s="212">
        <f>IF(H794&gt;0,1,0)</f>
        <v>0</v>
      </c>
      <c r="I793" s="213">
        <f>IF(I794&gt;0,1,0)</f>
        <v>0</v>
      </c>
      <c r="J793" s="213">
        <f>IF(J794&gt;0,1,0)</f>
        <v>0</v>
      </c>
      <c r="K793" s="213">
        <f>IF(K794&gt;0,1,0)</f>
        <v>0</v>
      </c>
      <c r="L793" s="214">
        <f>IF(L794&gt;0,1,0)</f>
        <v>0</v>
      </c>
      <c r="M793" s="639" t="s">
        <v>150</v>
      </c>
      <c r="N793" s="640"/>
      <c r="O793" s="641"/>
      <c r="P793" s="642"/>
      <c r="Q793" s="215"/>
      <c r="R793" s="216"/>
      <c r="S793" s="217"/>
      <c r="T793" s="643"/>
      <c r="U793" s="644"/>
    </row>
    <row r="794" spans="1:21" ht="60.75" customHeight="1" thickBot="1">
      <c r="A794" s="568"/>
      <c r="B794" s="218" t="s">
        <v>151</v>
      </c>
      <c r="C794" s="554"/>
      <c r="D794" s="131"/>
      <c r="E794" s="219">
        <f>IF(E793&gt;0,C$3,0)</f>
        <v>0</v>
      </c>
      <c r="F794" s="220" t="s">
        <v>152</v>
      </c>
      <c r="G794" s="221"/>
      <c r="H794" s="179">
        <f>IF(G786&gt;0,(ROUND((C800*G785),2)*G786),0)+IF(B790&gt;0,(ROUND((C800*B789),2)*B790),0)+IF(F790&gt;0,(ROUND((C800*F789),2)*F790),0)</f>
        <v>0</v>
      </c>
      <c r="I794" s="182">
        <f>IF(E790&gt;0,(ROUND(((D800*D799)/30),2)*E790),0)</f>
        <v>0</v>
      </c>
      <c r="J794" s="182">
        <f>IF(C790&gt;0,(ROUND(C800*C789,2)*C790),0)</f>
        <v>0</v>
      </c>
      <c r="K794" s="182">
        <f>IF(D790&gt;0,(ROUND(C800,2)*D790),0)</f>
        <v>0</v>
      </c>
      <c r="L794" s="222">
        <f>E800</f>
        <v>0</v>
      </c>
      <c r="M794" s="645">
        <f>Q779+M784+L791</f>
        <v>0</v>
      </c>
      <c r="N794" s="646"/>
      <c r="O794" s="202"/>
      <c r="P794" s="223"/>
      <c r="Q794" s="224"/>
      <c r="R794" s="182"/>
      <c r="S794" s="185"/>
      <c r="T794" s="695" t="s">
        <v>153</v>
      </c>
      <c r="U794" s="696"/>
    </row>
    <row r="795" spans="1:21" ht="41.25" customHeight="1" thickTop="1">
      <c r="A795" s="568"/>
      <c r="B795" s="208"/>
      <c r="C795" s="208"/>
      <c r="D795" s="208"/>
      <c r="E795" s="203">
        <f>ROUND((E793*E794),2)</f>
        <v>0</v>
      </c>
      <c r="F795" s="225"/>
      <c r="G795" s="226"/>
      <c r="H795" s="653" t="s">
        <v>309</v>
      </c>
      <c r="I795" s="655" t="s">
        <v>154</v>
      </c>
      <c r="J795" s="657" t="s">
        <v>155</v>
      </c>
      <c r="K795" s="660" t="s">
        <v>156</v>
      </c>
      <c r="L795" s="661" t="s">
        <v>157</v>
      </c>
      <c r="M795" s="661"/>
      <c r="N795" s="661"/>
      <c r="O795" s="662"/>
      <c r="P795" s="663" t="s">
        <v>158</v>
      </c>
      <c r="Q795" s="227" t="s">
        <v>159</v>
      </c>
      <c r="R795" s="228" t="s">
        <v>160</v>
      </c>
      <c r="S795" s="229" t="s">
        <v>161</v>
      </c>
      <c r="T795" s="695" t="s">
        <v>162</v>
      </c>
      <c r="U795" s="696"/>
    </row>
    <row r="796" spans="1:21" ht="92.25" customHeight="1">
      <c r="A796" s="568"/>
      <c r="B796" s="664" t="s">
        <v>163</v>
      </c>
      <c r="C796" s="117" t="s">
        <v>164</v>
      </c>
      <c r="D796" s="337" t="s">
        <v>165</v>
      </c>
      <c r="E796" s="146" t="s">
        <v>166</v>
      </c>
      <c r="F796" s="697" t="s">
        <v>167</v>
      </c>
      <c r="G796" s="191" t="s">
        <v>168</v>
      </c>
      <c r="H796" s="654"/>
      <c r="I796" s="656"/>
      <c r="J796" s="658"/>
      <c r="K796" s="584"/>
      <c r="L796" s="232" t="s">
        <v>169</v>
      </c>
      <c r="M796" s="123" t="s">
        <v>170</v>
      </c>
      <c r="N796" s="136" t="s">
        <v>171</v>
      </c>
      <c r="O796" s="136" t="s">
        <v>172</v>
      </c>
      <c r="P796" s="556"/>
      <c r="Q796" s="233">
        <f>ROUND(IF(S801&gt;$N$4,IF(S801&lt;=$O$4,7866.25+((S801-$N$4)*$O$3)),0)+IF(S801&gt;$O$4,20177.65+((S801-$O$4)*$P$3),0)+IF(S801&lt;=$N$4,IF(S801*E807&gt;0,S801*E807),0),0.1)</f>
        <v>0</v>
      </c>
      <c r="R796" s="234">
        <f>IF(L791&gt;0,ROUND((ROUND((L791),0.1)*E807),0.1),0)</f>
        <v>0</v>
      </c>
      <c r="S796" s="235">
        <f>IF(Q796+R796-D807&gt;=0,Q796+R796-D807,0)+IF(D807-Q796+R796&gt;0&lt;D807+0.001,Q796+R796-D807,0)</f>
        <v>0</v>
      </c>
      <c r="T796" s="695" t="s">
        <v>173</v>
      </c>
      <c r="U796" s="696"/>
    </row>
    <row r="797" spans="1:21" ht="36.75" customHeight="1">
      <c r="A797" s="568"/>
      <c r="B797" s="665"/>
      <c r="C797" s="230"/>
      <c r="D797" s="236"/>
      <c r="E797" s="237"/>
      <c r="F797" s="698"/>
      <c r="G797" s="239" t="s">
        <v>310</v>
      </c>
      <c r="H797" s="654"/>
      <c r="I797" s="656"/>
      <c r="J797" s="658"/>
      <c r="K797" s="584"/>
      <c r="L797" s="123"/>
      <c r="M797" s="240"/>
      <c r="N797" s="241"/>
      <c r="O797" s="136"/>
      <c r="P797" s="556"/>
      <c r="Q797" s="668" t="s">
        <v>174</v>
      </c>
      <c r="R797" s="669"/>
      <c r="S797" s="235">
        <f>ROUND(IF(S796&gt;=L807,S796-L807,0),0.1)</f>
        <v>0</v>
      </c>
      <c r="T797" s="338" t="str">
        <f>L$8</f>
        <v>styczeń</v>
      </c>
      <c r="U797" s="339" t="str">
        <f>N$8</f>
        <v>2011 r.</v>
      </c>
    </row>
    <row r="798" spans="1:21" ht="48" customHeight="1">
      <c r="A798" s="568"/>
      <c r="B798" s="244">
        <f>IF(B799=0,IF(T779&gt;0,IF(T784&gt;0,IF(T784="I kl",O$1)+IF(T784="II kl",P$1)+IF(T784="III kl",Q$1),ROUND((E$1*B807),2)),0),0)</f>
        <v>0</v>
      </c>
      <c r="C798" s="118" t="s">
        <v>175</v>
      </c>
      <c r="D798" s="123" t="s">
        <v>176</v>
      </c>
      <c r="E798" s="245"/>
      <c r="F798" s="698"/>
      <c r="G798" s="139"/>
      <c r="H798" s="246">
        <f>IF(H799&gt;0,1,0)</f>
        <v>0</v>
      </c>
      <c r="I798" s="247">
        <f>IF(I799&gt;0,1,0)</f>
        <v>0</v>
      </c>
      <c r="J798" s="658"/>
      <c r="K798" s="248">
        <f aca="true" t="shared" si="74" ref="K798:P798">IF(K799&gt;0,1,0)</f>
        <v>0</v>
      </c>
      <c r="L798" s="249">
        <f t="shared" si="74"/>
        <v>0</v>
      </c>
      <c r="M798" s="250">
        <f t="shared" si="74"/>
        <v>0</v>
      </c>
      <c r="N798" s="249">
        <f t="shared" si="74"/>
        <v>0</v>
      </c>
      <c r="O798" s="251">
        <f t="shared" si="74"/>
        <v>0</v>
      </c>
      <c r="P798" s="252">
        <f t="shared" si="74"/>
        <v>0</v>
      </c>
      <c r="Q798" s="670" t="s">
        <v>177</v>
      </c>
      <c r="R798" s="253" t="s">
        <v>178</v>
      </c>
      <c r="S798" s="235">
        <v>0</v>
      </c>
      <c r="T798" s="647" t="s">
        <v>179</v>
      </c>
      <c r="U798" s="648"/>
    </row>
    <row r="799" spans="1:21" ht="57.75" customHeight="1" thickBot="1">
      <c r="A799" s="568"/>
      <c r="B799" s="254"/>
      <c r="C799" s="230"/>
      <c r="D799" s="177">
        <v>0.9</v>
      </c>
      <c r="E799" s="255">
        <f>IF(E797&gt;0,$U$1-E798,0)</f>
        <v>0</v>
      </c>
      <c r="F799" s="238">
        <f>IF(F800&gt;0,1,0)</f>
        <v>0</v>
      </c>
      <c r="G799" s="256" t="s">
        <v>180</v>
      </c>
      <c r="H799" s="257">
        <f>P778+L791-P807</f>
        <v>0</v>
      </c>
      <c r="I799" s="233">
        <f>L778+K790</f>
        <v>0</v>
      </c>
      <c r="J799" s="659"/>
      <c r="K799" s="244">
        <f>S783+K789+L789+O789+R789+O802+L805-N799</f>
        <v>0</v>
      </c>
      <c r="L799" s="244"/>
      <c r="M799" s="244">
        <f>G788+IF(G790&gt;0,G790,0)</f>
        <v>0</v>
      </c>
      <c r="N799" s="244">
        <f>L805-L807</f>
        <v>0</v>
      </c>
      <c r="O799" s="244"/>
      <c r="P799" s="258">
        <f>SUM(K799:O799)</f>
        <v>0</v>
      </c>
      <c r="Q799" s="671"/>
      <c r="R799" s="259" t="s">
        <v>181</v>
      </c>
      <c r="S799" s="235">
        <v>0</v>
      </c>
      <c r="T799" s="647" t="s">
        <v>182</v>
      </c>
      <c r="U799" s="648"/>
    </row>
    <row r="800" spans="1:21" ht="45.75" customHeight="1" thickBot="1" thickTop="1">
      <c r="A800" s="569"/>
      <c r="B800" s="244">
        <f>IF(B799=0,ROUND(IF(B798&gt;0,CEILING((B798/G782),0.01),B799),2),B799)</f>
        <v>0</v>
      </c>
      <c r="C800" s="244">
        <f>IF(T779&gt;0,(IF(C797&gt;0,ROUND(((C797-(C797*(B803+C803+D803)))/30),2),0)+IF(C799&gt;0,ROUND((C799/30),2),0))+(IF(IF(C797&gt;0,ROUND(((C797-(C797*(B803+C803+D803)))/30),2),0)+IF(C799&gt;0,ROUND((C799/30),2),0)&lt;ROUND((($F$1*B807)/30),2),(IF(C797+C799&gt;0,ROUND((($F$1*B807)/30),2)-(IF(C797&gt;0,ROUND(((C797-(C797*(B803+C803+D803)))/30),2),0)+IF(C799&gt;0,ROUND((C799/30),2),0)))),0)),0)</f>
        <v>0</v>
      </c>
      <c r="D800" s="244"/>
      <c r="E800" s="244">
        <f>IF(E799&gt;0,IF(ROUND(E797-((E797/30)*E798),2)-H802+O802&gt;0,ROUND(E797-((E797/30)*E798),2)-H802+O802,0),0)</f>
        <v>0</v>
      </c>
      <c r="F800" s="137"/>
      <c r="G800" s="139"/>
      <c r="H800" s="672" t="s">
        <v>183</v>
      </c>
      <c r="I800" s="673"/>
      <c r="J800" s="673"/>
      <c r="K800" s="673"/>
      <c r="L800" s="673"/>
      <c r="M800" s="674" t="s">
        <v>184</v>
      </c>
      <c r="N800" s="675"/>
      <c r="O800" s="260" t="s">
        <v>185</v>
      </c>
      <c r="P800" s="261" t="s">
        <v>186</v>
      </c>
      <c r="Q800" s="676" t="s">
        <v>187</v>
      </c>
      <c r="R800" s="677"/>
      <c r="S800" s="262">
        <f>ROUND((IF(S797-S798&gt;=0,S797-S798,0)+S799),0.1)</f>
        <v>0</v>
      </c>
      <c r="T800" s="263" t="str">
        <f>L$8</f>
        <v>styczeń</v>
      </c>
      <c r="U800" s="264" t="str">
        <f>N$8</f>
        <v>2011 r.</v>
      </c>
    </row>
    <row r="801" spans="1:21" ht="69.75" customHeight="1" thickBot="1" thickTop="1">
      <c r="A801" s="568"/>
      <c r="B801" s="699" t="s">
        <v>188</v>
      </c>
      <c r="C801" s="700"/>
      <c r="D801" s="700"/>
      <c r="E801" s="701"/>
      <c r="F801" s="265" t="s">
        <v>189</v>
      </c>
      <c r="G801" s="266" t="s">
        <v>190</v>
      </c>
      <c r="H801" s="267" t="s">
        <v>191</v>
      </c>
      <c r="I801" s="268" t="s">
        <v>192</v>
      </c>
      <c r="J801" s="269" t="s">
        <v>193</v>
      </c>
      <c r="K801" s="238" t="s">
        <v>194</v>
      </c>
      <c r="L801" s="270" t="s">
        <v>195</v>
      </c>
      <c r="M801" s="198" t="s">
        <v>196</v>
      </c>
      <c r="N801" s="271" t="s">
        <v>197</v>
      </c>
      <c r="O801" s="294" t="s">
        <v>198</v>
      </c>
      <c r="P801" s="273" t="s">
        <v>199</v>
      </c>
      <c r="Q801" s="340" t="s">
        <v>200</v>
      </c>
      <c r="R801" s="275" t="s">
        <v>201</v>
      </c>
      <c r="S801" s="276">
        <f>IF(ROUND((P778-P807-C807),0.1)&gt;0,ROUND((P778-P807-C807),0.1),0)</f>
        <v>0</v>
      </c>
      <c r="T801" s="277"/>
      <c r="U801" s="278"/>
    </row>
    <row r="802" spans="1:21" ht="81" customHeight="1" thickTop="1">
      <c r="A802" s="568"/>
      <c r="B802" s="279" t="s">
        <v>202</v>
      </c>
      <c r="C802" s="279" t="s">
        <v>203</v>
      </c>
      <c r="D802" s="279" t="s">
        <v>204</v>
      </c>
      <c r="E802" s="279" t="s">
        <v>205</v>
      </c>
      <c r="F802" s="279" t="s">
        <v>206</v>
      </c>
      <c r="G802" s="280">
        <f>ROUND((H802*G804),2)</f>
        <v>0</v>
      </c>
      <c r="H802" s="281">
        <f>Q779+O789</f>
        <v>0</v>
      </c>
      <c r="I802" s="282">
        <f>Q779+O789</f>
        <v>0</v>
      </c>
      <c r="J802" s="282">
        <f>Q779+O789</f>
        <v>0</v>
      </c>
      <c r="K802" s="282">
        <f>Q779+O789</f>
        <v>0</v>
      </c>
      <c r="L802" s="283">
        <f>Q779+H789+I789-O802+O789</f>
        <v>0</v>
      </c>
      <c r="M802" s="284">
        <f>IF(D797&gt;0,IF(D797&lt;$U$1,ROUND((($E$1/$U$1)*D797),2),$E$1))+IF(K794&gt;0,K794,0)</f>
        <v>0</v>
      </c>
      <c r="N802" s="285">
        <f>M802</f>
        <v>0</v>
      </c>
      <c r="O802" s="286">
        <f>SUM(H805:J805)</f>
        <v>0</v>
      </c>
      <c r="P802" s="287">
        <f>IF(P803&gt;0,1,0)</f>
        <v>0</v>
      </c>
      <c r="Q802" s="288">
        <f>ROUND((H802-O789-P807+H789+I789)*$R$3,2)</f>
        <v>0</v>
      </c>
      <c r="R802" s="681" t="s">
        <v>207</v>
      </c>
      <c r="S802" s="683" t="s">
        <v>311</v>
      </c>
      <c r="T802" s="289"/>
      <c r="U802" s="278"/>
    </row>
    <row r="803" spans="1:21" ht="38.25" customHeight="1">
      <c r="A803" s="568"/>
      <c r="B803" s="158">
        <f>IF(H802&gt;0,B$2,0)</f>
        <v>0</v>
      </c>
      <c r="C803" s="158">
        <f>IF(I802&gt;0,H$4,0)</f>
        <v>0</v>
      </c>
      <c r="D803" s="158">
        <f>IF(J802&gt;0,F$2,0)</f>
        <v>0</v>
      </c>
      <c r="E803" s="158" t="s">
        <v>208</v>
      </c>
      <c r="F803" s="290" t="s">
        <v>209</v>
      </c>
      <c r="G803" s="291">
        <v>0</v>
      </c>
      <c r="H803" s="685" t="s">
        <v>210</v>
      </c>
      <c r="I803" s="686"/>
      <c r="J803" s="686"/>
      <c r="K803" s="686"/>
      <c r="L803" s="686"/>
      <c r="M803" s="292" t="s">
        <v>211</v>
      </c>
      <c r="N803" s="293" t="s">
        <v>212</v>
      </c>
      <c r="O803" s="294" t="s">
        <v>213</v>
      </c>
      <c r="P803" s="52">
        <f>IF(I802&lt;$E$1,IF(B807=1,IF(T784=0,ROUND((I802*$L$2),2),0),0),ROUND((I802*$L$2),2))</f>
        <v>0</v>
      </c>
      <c r="Q803" s="295" t="s">
        <v>214</v>
      </c>
      <c r="R803" s="682"/>
      <c r="S803" s="684"/>
      <c r="T803" s="289"/>
      <c r="U803" s="278"/>
    </row>
    <row r="804" spans="1:21" ht="42.75" customHeight="1" thickBot="1">
      <c r="A804" s="568"/>
      <c r="B804" s="158">
        <f>IF(H802&gt;0,B$2,0)</f>
        <v>0</v>
      </c>
      <c r="C804" s="158">
        <f>IF(I802&gt;0,D$2,0)</f>
        <v>0</v>
      </c>
      <c r="D804" s="158" t="s">
        <v>208</v>
      </c>
      <c r="E804" s="158">
        <f>IF(K802&gt;0,H$2,0)</f>
        <v>0</v>
      </c>
      <c r="F804" s="158">
        <f>IF(L802&gt;0,J$2,0)</f>
        <v>0</v>
      </c>
      <c r="G804" s="158">
        <f>IF(G803&gt;0,L$1,0)</f>
        <v>0</v>
      </c>
      <c r="H804" s="296" t="s">
        <v>215</v>
      </c>
      <c r="I804" s="297" t="s">
        <v>215</v>
      </c>
      <c r="J804" s="297" t="s">
        <v>215</v>
      </c>
      <c r="K804" s="298" t="s">
        <v>209</v>
      </c>
      <c r="L804" s="299" t="s">
        <v>215</v>
      </c>
      <c r="M804" s="300">
        <f>ROUND(M802*(B$2+B$2),2)</f>
        <v>0</v>
      </c>
      <c r="N804" s="301">
        <f>ROUND(N802*(D$2+H$4),2)</f>
        <v>0</v>
      </c>
      <c r="O804" s="302">
        <f>H807+I807+K807+G802</f>
        <v>0</v>
      </c>
      <c r="P804" s="303" t="s">
        <v>216</v>
      </c>
      <c r="Q804" s="304">
        <f>ROUND((L802*J$2),2)</f>
        <v>0</v>
      </c>
      <c r="R804" s="305" t="s">
        <v>217</v>
      </c>
      <c r="S804" s="684"/>
      <c r="T804" s="289"/>
      <c r="U804" s="278"/>
    </row>
    <row r="805" spans="1:21" ht="53.25" customHeight="1" thickBot="1" thickTop="1">
      <c r="A805" s="568"/>
      <c r="B805" s="141">
        <f>IF(B803+B804&gt;0,1,0)</f>
        <v>0</v>
      </c>
      <c r="C805" s="141">
        <f>IF(C803+C804&gt;0,1,0)</f>
        <v>0</v>
      </c>
      <c r="D805" s="141">
        <f>IF(D803&gt;0,1,0)</f>
        <v>0</v>
      </c>
      <c r="E805" s="141">
        <f>IF(E804&gt;0,1,0)</f>
        <v>0</v>
      </c>
      <c r="F805" s="141">
        <f>IF(F804&gt;0,1,0)</f>
        <v>0</v>
      </c>
      <c r="G805" s="141">
        <f>IF(G804&gt;0,1,0)</f>
        <v>0</v>
      </c>
      <c r="H805" s="306">
        <f>ROUND(H802*B803,2)</f>
        <v>0</v>
      </c>
      <c r="I805" s="307">
        <f>ROUND(I802*C803,2)</f>
        <v>0</v>
      </c>
      <c r="J805" s="307">
        <f>ROUND(J802*D803,2)</f>
        <v>0</v>
      </c>
      <c r="K805" s="244" t="s">
        <v>209</v>
      </c>
      <c r="L805" s="307">
        <f>IF(S796&gt;=ROUND(L802*F804,2),ROUND(L802*F804,2),S796)</f>
        <v>0</v>
      </c>
      <c r="M805" s="687" t="s">
        <v>218</v>
      </c>
      <c r="N805" s="688"/>
      <c r="O805" s="689" t="s">
        <v>219</v>
      </c>
      <c r="P805" s="308">
        <f>IF(P806&gt;0,1,0)</f>
        <v>0</v>
      </c>
      <c r="Q805" s="309" t="s">
        <v>220</v>
      </c>
      <c r="R805" s="310">
        <f>IF(B782=G782,H783+I783+J783+L783+O783+R783+IF(K783&gt;0,ROUND((K783/K781),2),0),0)+IF(B782&lt;G782,IF(B782&gt;0,ROUND((((H783+J783)/B782)*(G782-B795)),2)+IF(K783&gt;0,ROUND((K783/K781),2),0)+I783+L783+O783+R783,0),0)</f>
        <v>0</v>
      </c>
      <c r="S805" s="235">
        <f>IF(S797-S798&lt;0,S798-S797,0)</f>
        <v>0</v>
      </c>
      <c r="T805" s="289"/>
      <c r="U805" s="278"/>
    </row>
    <row r="806" spans="1:22" ht="63" customHeight="1" thickBot="1" thickTop="1">
      <c r="A806" s="568"/>
      <c r="B806" s="311" t="s">
        <v>221</v>
      </c>
      <c r="C806" s="311" t="s">
        <v>222</v>
      </c>
      <c r="D806" s="311" t="s">
        <v>34</v>
      </c>
      <c r="E806" s="146" t="s">
        <v>223</v>
      </c>
      <c r="F806" s="312" t="s">
        <v>224</v>
      </c>
      <c r="G806" s="139">
        <f>IF(Q802&gt;Q796,Q802-Q796,0)</f>
        <v>0</v>
      </c>
      <c r="H806" s="313" t="s">
        <v>225</v>
      </c>
      <c r="I806" s="314" t="s">
        <v>225</v>
      </c>
      <c r="J806" s="298" t="s">
        <v>209</v>
      </c>
      <c r="K806" s="315" t="s">
        <v>225</v>
      </c>
      <c r="L806" s="316" t="s">
        <v>226</v>
      </c>
      <c r="M806" s="317" t="s">
        <v>227</v>
      </c>
      <c r="N806" s="318" t="s">
        <v>228</v>
      </c>
      <c r="O806" s="690"/>
      <c r="P806" s="319">
        <f>ROUND(N$2*H802,2)</f>
        <v>0</v>
      </c>
      <c r="Q806" s="320">
        <f>IF(D797&gt;0,$U$2,0)</f>
        <v>0</v>
      </c>
      <c r="R806" s="321" t="s">
        <v>229</v>
      </c>
      <c r="S806" s="322" t="s">
        <v>230</v>
      </c>
      <c r="T806" s="691" t="s">
        <v>231</v>
      </c>
      <c r="U806" s="702"/>
      <c r="V806" s="323">
        <f>IF(ISBLANK(AM778),0,IF(IF(AF793&gt;=AI$2,AI$2,AF793)&gt;0,IF(AF793&gt;=AI$2,AI$2,AF793),0))</f>
        <v>0</v>
      </c>
    </row>
    <row r="807" spans="1:22" ht="42" customHeight="1" thickBot="1" thickTop="1">
      <c r="A807" s="570"/>
      <c r="B807" s="324">
        <f>IF(ISBLANK(T779),0,1)</f>
        <v>0</v>
      </c>
      <c r="C807" s="324">
        <f>IF(ISBLANK(T779),0,IF(IF(M794&gt;=P$2,P$2,M794)&gt;0,IF(M794&gt;=P$2,P$2,M794),0))</f>
        <v>0</v>
      </c>
      <c r="D807" s="324">
        <f>IF(ISBLANK(T779),0,S$1)</f>
        <v>0</v>
      </c>
      <c r="E807" s="325">
        <f>IF(G782&gt;0,$N$3,0)</f>
        <v>0</v>
      </c>
      <c r="F807" s="326">
        <f>O802+O804+P803+P806+L805+S800</f>
        <v>0</v>
      </c>
      <c r="G807" s="327">
        <f>IF(G806&gt;0,1,0)</f>
        <v>0</v>
      </c>
      <c r="H807" s="328">
        <f>ROUND(H802*B803,2)</f>
        <v>0</v>
      </c>
      <c r="I807" s="329">
        <f>ROUND(I802*C804,2)</f>
        <v>0</v>
      </c>
      <c r="J807" s="182" t="s">
        <v>209</v>
      </c>
      <c r="K807" s="330">
        <f>ROUND(K802*E804,2)</f>
        <v>0</v>
      </c>
      <c r="L807" s="185">
        <f>IF(S796&gt;=ROUND((H802-O789-P807+H789+I789)*$R$3,2),ROUND((H802-O789-P807+H789+I789)*$R$3,2),S796)</f>
        <v>0</v>
      </c>
      <c r="M807" s="179">
        <f>O802+O804</f>
        <v>0</v>
      </c>
      <c r="N807" s="331">
        <f>M807+L805</f>
        <v>0</v>
      </c>
      <c r="O807" s="332">
        <f>SUM(M804:N804)</f>
        <v>0</v>
      </c>
      <c r="P807" s="333">
        <f>ROUND(Q779*B803,2)+ROUND(Q779*C803,2)+ROUND(Q779*D803,2)</f>
        <v>0</v>
      </c>
      <c r="Q807" s="334">
        <f>IF(D797&gt;0,ROUND(($U$2*J$2),2),0)</f>
        <v>0</v>
      </c>
      <c r="R807" s="335">
        <f>IF(B782&gt;=G782/2,IF(B782=G782,H783+I783+J783+L783+O783+P783+R783+IF(K783&gt;0,ROUND((K783/K781),2),0),ROUND((((H783+J783+L783)/B782)*(G782-B795)),2)+IF(K783&gt;0,ROUND((K783/K781),2),0)+I783+O783+P783+R783),0)</f>
        <v>0</v>
      </c>
      <c r="S807" s="336">
        <f>IF(P778-O802-S800-L805&gt;0,P778-O802-S800-L805,0)</f>
        <v>0</v>
      </c>
      <c r="T807" s="693" t="s">
        <v>232</v>
      </c>
      <c r="U807" s="703"/>
      <c r="V807" s="323">
        <f>IF(ISBLANK(AM779),0,IF(IF(AF794&gt;=AJ$2,AJ$2,AF794)&gt;0,IF(AF794&gt;=AJ$2,AJ$2,AF794),0))</f>
        <v>0</v>
      </c>
    </row>
    <row r="808" ht="24" customHeight="1" thickTop="1"/>
    <row r="809" spans="1:23" ht="33" customHeight="1" thickBot="1">
      <c r="A809" s="111" t="s">
        <v>72</v>
      </c>
      <c r="B809" s="112" t="s">
        <v>73</v>
      </c>
      <c r="C809" s="113"/>
      <c r="D809" s="113"/>
      <c r="E809" s="114"/>
      <c r="F809" s="553" t="s">
        <v>74</v>
      </c>
      <c r="G809" s="555" t="s">
        <v>75</v>
      </c>
      <c r="H809" s="557" t="s">
        <v>76</v>
      </c>
      <c r="I809" s="557"/>
      <c r="J809" s="558"/>
      <c r="K809" s="559"/>
      <c r="L809" s="560"/>
      <c r="M809" s="560"/>
      <c r="N809" s="560"/>
      <c r="O809" s="561"/>
      <c r="P809" s="559"/>
      <c r="Q809" s="560"/>
      <c r="R809" s="560"/>
      <c r="S809" s="560"/>
      <c r="T809" s="565" t="s">
        <v>77</v>
      </c>
      <c r="U809" s="566"/>
      <c r="V809" s="102"/>
      <c r="W809" s="115"/>
    </row>
    <row r="810" spans="1:23" ht="44.25" customHeight="1" thickBot="1" thickTop="1">
      <c r="A810" s="567">
        <f>A778+1</f>
        <v>26</v>
      </c>
      <c r="B810" s="571" t="s">
        <v>79</v>
      </c>
      <c r="C810" s="571" t="s">
        <v>80</v>
      </c>
      <c r="D810" s="573" t="s">
        <v>81</v>
      </c>
      <c r="E810" s="573"/>
      <c r="F810" s="554"/>
      <c r="G810" s="556"/>
      <c r="H810" s="574" t="s">
        <v>82</v>
      </c>
      <c r="I810" s="574"/>
      <c r="J810" s="574"/>
      <c r="K810" s="574"/>
      <c r="L810" s="575">
        <f>P810+S816</f>
        <v>0</v>
      </c>
      <c r="M810" s="576"/>
      <c r="N810" s="577" t="s">
        <v>83</v>
      </c>
      <c r="O810" s="578"/>
      <c r="P810" s="575">
        <f>Q811+M816</f>
        <v>0</v>
      </c>
      <c r="Q810" s="576"/>
      <c r="R810" s="119"/>
      <c r="S810" s="120"/>
      <c r="T810" s="121"/>
      <c r="U810" s="122"/>
      <c r="V810" s="102"/>
      <c r="W810" s="115"/>
    </row>
    <row r="811" spans="1:23" ht="36.75" customHeight="1">
      <c r="A811" s="568"/>
      <c r="B811" s="572"/>
      <c r="C811" s="572"/>
      <c r="D811" s="124" t="s">
        <v>85</v>
      </c>
      <c r="E811" s="124" t="s">
        <v>86</v>
      </c>
      <c r="F811" s="554"/>
      <c r="G811" s="556"/>
      <c r="H811" s="562" t="s">
        <v>87</v>
      </c>
      <c r="I811" s="563"/>
      <c r="J811" s="563"/>
      <c r="K811" s="563"/>
      <c r="L811" s="563"/>
      <c r="M811" s="563"/>
      <c r="N811" s="563"/>
      <c r="O811" s="563"/>
      <c r="P811" s="564"/>
      <c r="Q811" s="579">
        <f>SUM(H815:S815)</f>
        <v>0</v>
      </c>
      <c r="R811" s="580"/>
      <c r="S811" s="125"/>
      <c r="T811" s="581"/>
      <c r="U811" s="582"/>
      <c r="V811" s="102"/>
      <c r="W811" s="115"/>
    </row>
    <row r="812" spans="1:23" ht="38.25" customHeight="1">
      <c r="A812" s="568"/>
      <c r="B812" s="572"/>
      <c r="C812" s="126"/>
      <c r="D812" s="124" t="s">
        <v>89</v>
      </c>
      <c r="E812" s="124" t="s">
        <v>89</v>
      </c>
      <c r="F812" s="554"/>
      <c r="G812" s="127"/>
      <c r="H812" s="128" t="s">
        <v>90</v>
      </c>
      <c r="I812" s="129" t="s">
        <v>91</v>
      </c>
      <c r="J812" s="129" t="s">
        <v>92</v>
      </c>
      <c r="K812" s="130" t="s">
        <v>93</v>
      </c>
      <c r="L812" s="583" t="s">
        <v>94</v>
      </c>
      <c r="M812" s="583" t="s">
        <v>95</v>
      </c>
      <c r="N812" s="583" t="s">
        <v>96</v>
      </c>
      <c r="O812" s="585" t="s">
        <v>97</v>
      </c>
      <c r="P812" s="583" t="s">
        <v>98</v>
      </c>
      <c r="Q812" s="587" t="s">
        <v>99</v>
      </c>
      <c r="R812" s="589" t="s">
        <v>100</v>
      </c>
      <c r="S812" s="591" t="s">
        <v>101</v>
      </c>
      <c r="T812" s="581"/>
      <c r="U812" s="582"/>
      <c r="V812" s="102"/>
      <c r="W812" s="115"/>
    </row>
    <row r="813" spans="1:23" ht="30" customHeight="1">
      <c r="A813" s="568"/>
      <c r="B813" s="572"/>
      <c r="C813" s="131"/>
      <c r="D813" s="131"/>
      <c r="E813" s="131"/>
      <c r="F813" s="554"/>
      <c r="G813" s="127"/>
      <c r="H813" s="132" t="s">
        <v>103</v>
      </c>
      <c r="I813" s="133" t="s">
        <v>104</v>
      </c>
      <c r="J813" s="134">
        <v>0</v>
      </c>
      <c r="K813" s="135">
        <v>1</v>
      </c>
      <c r="L813" s="584"/>
      <c r="M813" s="584"/>
      <c r="N813" s="584"/>
      <c r="O813" s="586"/>
      <c r="P813" s="584"/>
      <c r="Q813" s="588"/>
      <c r="R813" s="590"/>
      <c r="S813" s="592"/>
      <c r="T813" s="581"/>
      <c r="U813" s="582"/>
      <c r="V813" s="102"/>
      <c r="W813" s="115"/>
    </row>
    <row r="814" spans="1:21" ht="51" customHeight="1">
      <c r="A814" s="568"/>
      <c r="B814" s="137">
        <f>G814</f>
        <v>0</v>
      </c>
      <c r="C814" s="137"/>
      <c r="D814" s="137"/>
      <c r="E814" s="138"/>
      <c r="F814" s="138"/>
      <c r="G814" s="139">
        <f>B$1*B839</f>
        <v>0</v>
      </c>
      <c r="H814" s="140">
        <f aca="true" t="shared" si="75" ref="H814:S814">IF(H815&gt;0,1,0)</f>
        <v>0</v>
      </c>
      <c r="I814" s="141">
        <f t="shared" si="75"/>
        <v>0</v>
      </c>
      <c r="J814" s="141">
        <f t="shared" si="75"/>
        <v>0</v>
      </c>
      <c r="K814" s="142">
        <f t="shared" si="75"/>
        <v>0</v>
      </c>
      <c r="L814" s="142">
        <f t="shared" si="75"/>
        <v>0</v>
      </c>
      <c r="M814" s="142">
        <f t="shared" si="75"/>
        <v>0</v>
      </c>
      <c r="N814" s="142">
        <f t="shared" si="75"/>
        <v>0</v>
      </c>
      <c r="O814" s="141">
        <f t="shared" si="75"/>
        <v>0</v>
      </c>
      <c r="P814" s="142">
        <f t="shared" si="75"/>
        <v>0</v>
      </c>
      <c r="Q814" s="142">
        <f t="shared" si="75"/>
        <v>0</v>
      </c>
      <c r="R814" s="143">
        <f t="shared" si="75"/>
        <v>0</v>
      </c>
      <c r="S814" s="144">
        <f t="shared" si="75"/>
        <v>0</v>
      </c>
      <c r="T814" s="593"/>
      <c r="U814" s="594"/>
    </row>
    <row r="815" spans="1:22" ht="49.5" customHeight="1" thickBot="1">
      <c r="A815" s="568"/>
      <c r="B815" s="595" t="s">
        <v>106</v>
      </c>
      <c r="C815" s="595" t="s">
        <v>107</v>
      </c>
      <c r="D815" s="596" t="s">
        <v>108</v>
      </c>
      <c r="E815" s="148" t="s">
        <v>109</v>
      </c>
      <c r="F815" s="149"/>
      <c r="G815" s="597" t="s">
        <v>110</v>
      </c>
      <c r="H815" s="150">
        <f>IF(B814+B818+B825+B827+C824+D818+F815&gt;0,IF(B830&gt;0,B830-(IF(E818+F818+G818+B822+C822+D822+E822+F822&gt;0,ROUND((B830/30)*IF(E818+F818+G818+B822+C822+D822+E822+F822&lt;31,E818+F818+G818+B822+C822+D822+E822+F822,30),2),0)+ROUND(((B830/G814)*(B818+B825+B827+C824+D818)),2)),0),0)+IF(B814&gt;G814,IF(B830&gt;0,(B814-G814)*B832,0),0)+IF(B831&gt;0,B831*B814,0)-IF(IF(B814+B818+B825+B827+C824+D818+F815&gt;0,IF(B830&gt;0,B830-(IF(E818+F818+G818+B822+C822+D822+E822+F822&gt;0,ROUND((B830/30)*IF(E818+F818+G818+B822+C822+D822+E822+F822&lt;31,E818+F818+G818+B822+C822+D822+E822+F822,30),2),0)+ROUND(((B830/G814)*(B818+B825+B827+C824+D818)),2)),0),0)&lt;0,IF(B814+B818+B825+B827+C824+D818+F815&gt;0,IF(B830&gt;0,B830-(IF(E818+F818+G818+B822+C822+D822+E822+F822&gt;0,ROUND((B830/30)*IF(E818+F818+G818+B822+C822+D822+E822+F822&lt;31,E818+F818+G818+B822+C822+D822+E822+F822,30),2),0)+ROUND(((B830/G814)*(B818+B825+B827+C824+D818)),2)),0),0),0)</f>
        <v>0</v>
      </c>
      <c r="I815" s="151">
        <f>ROUND(D814*ROUND(B832*150%,2)+E814*ROUND(B832*200%,2),2)</f>
        <v>0</v>
      </c>
      <c r="J815" s="151">
        <f>ROUND((J813*H815),2)</f>
        <v>0</v>
      </c>
      <c r="K815" s="151"/>
      <c r="L815" s="151">
        <f>IF(C814&gt;0,C814*ROUND(B832*U$3,2),0)+IF(U$3=0,IF(C814&gt;0,C814*ROUND(20%*ROUND(E$1/G814,2),2),0))</f>
        <v>0</v>
      </c>
      <c r="M815" s="151">
        <f>IF(B818&gt;0,ROUND((B818*C827),2),0)</f>
        <v>0</v>
      </c>
      <c r="N815" s="151">
        <f>IF(B814+D814+E814+F814&gt;0,ROUND((((H815+I815+J815+L815+O815)/(B814+D814+E814+F814))*D818),2),B832*D818)</f>
        <v>0</v>
      </c>
      <c r="O815" s="151">
        <f>ROUND((F814*B832),2)</f>
        <v>0</v>
      </c>
      <c r="P815" s="151">
        <f>IF(C818&gt;0,ROUND((D827/($I$1*8*B839)),2)*C818,0)</f>
        <v>0</v>
      </c>
      <c r="Q815" s="151"/>
      <c r="R815" s="152"/>
      <c r="S815" s="153">
        <f>IF(G832&gt;500,G832-500,0)+IF(F832&gt;190,F832-190,0)</f>
        <v>0</v>
      </c>
      <c r="T815" s="593"/>
      <c r="U815" s="594"/>
      <c r="V815" s="154"/>
    </row>
    <row r="816" spans="1:21" ht="57" customHeight="1">
      <c r="A816" s="568"/>
      <c r="B816" s="554"/>
      <c r="C816" s="554"/>
      <c r="D816" s="554"/>
      <c r="E816" s="599" t="s">
        <v>112</v>
      </c>
      <c r="F816" s="599"/>
      <c r="G816" s="598"/>
      <c r="H816" s="600" t="s">
        <v>113</v>
      </c>
      <c r="I816" s="601"/>
      <c r="J816" s="601"/>
      <c r="K816" s="601"/>
      <c r="L816" s="601"/>
      <c r="M816" s="602">
        <f>H821+I821+M817</f>
        <v>0</v>
      </c>
      <c r="N816" s="603"/>
      <c r="O816" s="604" t="s">
        <v>114</v>
      </c>
      <c r="P816" s="604"/>
      <c r="Q816" s="604"/>
      <c r="R816" s="604"/>
      <c r="S816" s="156">
        <f>S817+O821</f>
        <v>0</v>
      </c>
      <c r="T816" s="605"/>
      <c r="U816" s="606"/>
    </row>
    <row r="817" spans="1:21" ht="38.25" customHeight="1">
      <c r="A817" s="568"/>
      <c r="B817" s="157"/>
      <c r="C817" s="131"/>
      <c r="D817" s="131"/>
      <c r="E817" s="158">
        <v>0.8</v>
      </c>
      <c r="F817" s="158">
        <v>1</v>
      </c>
      <c r="G817" s="159">
        <v>0.8</v>
      </c>
      <c r="H817" s="607" t="s">
        <v>115</v>
      </c>
      <c r="I817" s="608"/>
      <c r="J817" s="609" t="s">
        <v>116</v>
      </c>
      <c r="K817" s="610"/>
      <c r="L817" s="610"/>
      <c r="M817" s="611">
        <f>SUM(J821:N821)</f>
        <v>0</v>
      </c>
      <c r="N817" s="612"/>
      <c r="O817" s="160" t="s">
        <v>117</v>
      </c>
      <c r="P817" s="613" t="s">
        <v>118</v>
      </c>
      <c r="Q817" s="614"/>
      <c r="R817" s="615"/>
      <c r="S817" s="161">
        <f>SUM(P821:S821)</f>
        <v>0</v>
      </c>
      <c r="T817" s="616"/>
      <c r="U817" s="617"/>
    </row>
    <row r="818" spans="1:21" ht="40.5" customHeight="1">
      <c r="A818" s="568"/>
      <c r="B818" s="137"/>
      <c r="C818" s="137"/>
      <c r="D818" s="137"/>
      <c r="E818" s="137"/>
      <c r="F818" s="137"/>
      <c r="G818" s="139"/>
      <c r="H818" s="618" t="s">
        <v>119</v>
      </c>
      <c r="I818" s="162"/>
      <c r="J818" s="620" t="s">
        <v>120</v>
      </c>
      <c r="K818" s="595" t="s">
        <v>121</v>
      </c>
      <c r="L818" s="595" t="s">
        <v>122</v>
      </c>
      <c r="M818" s="595" t="s">
        <v>123</v>
      </c>
      <c r="N818" s="163" t="s">
        <v>124</v>
      </c>
      <c r="O818" s="622" t="s">
        <v>125</v>
      </c>
      <c r="P818" s="624" t="s">
        <v>126</v>
      </c>
      <c r="Q818" s="584" t="s">
        <v>127</v>
      </c>
      <c r="R818" s="634" t="s">
        <v>128</v>
      </c>
      <c r="S818" s="633" t="s">
        <v>129</v>
      </c>
      <c r="T818" s="164"/>
      <c r="U818" s="165"/>
    </row>
    <row r="819" spans="1:21" ht="39.75" customHeight="1">
      <c r="A819" s="568"/>
      <c r="B819" s="571" t="s">
        <v>110</v>
      </c>
      <c r="C819" s="571" t="s">
        <v>130</v>
      </c>
      <c r="D819" s="571" t="s">
        <v>131</v>
      </c>
      <c r="E819" s="571" t="s">
        <v>132</v>
      </c>
      <c r="F819" s="571" t="s">
        <v>110</v>
      </c>
      <c r="G819" s="166" t="s">
        <v>133</v>
      </c>
      <c r="H819" s="619"/>
      <c r="I819" s="167"/>
      <c r="J819" s="621"/>
      <c r="K819" s="554"/>
      <c r="L819" s="554"/>
      <c r="M819" s="554"/>
      <c r="N819" s="168" t="s">
        <v>134</v>
      </c>
      <c r="O819" s="623"/>
      <c r="P819" s="624"/>
      <c r="Q819" s="584"/>
      <c r="R819" s="634"/>
      <c r="S819" s="633"/>
      <c r="T819" s="627">
        <f>I831-S832-P831</f>
        <v>0</v>
      </c>
      <c r="U819" s="628"/>
    </row>
    <row r="820" spans="1:21" ht="35.25" customHeight="1">
      <c r="A820" s="568"/>
      <c r="B820" s="572"/>
      <c r="C820" s="572"/>
      <c r="D820" s="572"/>
      <c r="E820" s="572"/>
      <c r="F820" s="572"/>
      <c r="G820" s="139"/>
      <c r="H820" s="169">
        <f aca="true" t="shared" si="76" ref="H820:M820">IF(H821&gt;0,1,0)</f>
        <v>0</v>
      </c>
      <c r="I820" s="170">
        <f t="shared" si="76"/>
        <v>0</v>
      </c>
      <c r="J820" s="171">
        <f t="shared" si="76"/>
        <v>0</v>
      </c>
      <c r="K820" s="172">
        <f t="shared" si="76"/>
        <v>0</v>
      </c>
      <c r="L820" s="173">
        <f t="shared" si="76"/>
        <v>0</v>
      </c>
      <c r="M820" s="173">
        <f t="shared" si="76"/>
        <v>0</v>
      </c>
      <c r="N820" s="174">
        <v>0</v>
      </c>
      <c r="O820" s="175">
        <f>IF(O821&gt;0,1,0)</f>
        <v>0</v>
      </c>
      <c r="P820" s="171">
        <f>IF(P821&gt;0,1,0)</f>
        <v>0</v>
      </c>
      <c r="Q820" s="173">
        <f>IF(Q821&gt;0,1,0)</f>
        <v>0</v>
      </c>
      <c r="R820" s="173">
        <f>IF(R821&gt;0,1,0)</f>
        <v>0</v>
      </c>
      <c r="S820" s="176">
        <f>IF(S821&gt;0,1,0)</f>
        <v>0</v>
      </c>
      <c r="T820" s="627"/>
      <c r="U820" s="628"/>
    </row>
    <row r="821" spans="1:21" ht="36" customHeight="1" thickBot="1">
      <c r="A821" s="568"/>
      <c r="B821" s="177">
        <v>1</v>
      </c>
      <c r="C821" s="177">
        <v>0.8</v>
      </c>
      <c r="D821" s="572"/>
      <c r="E821" s="572"/>
      <c r="F821" s="177">
        <v>0.7</v>
      </c>
      <c r="G821" s="178">
        <v>0</v>
      </c>
      <c r="H821" s="179">
        <f>IF(E818&gt;0,ROUND((C832*E817),2)*E818,0)+IF(F818&gt;0,C832*F818,0)</f>
        <v>0</v>
      </c>
      <c r="I821" s="180"/>
      <c r="J821" s="181">
        <f>IF(G814&gt;0,IF(B814&gt;=G814,E827-((E827/22)*F827),(E827-(ROUND(((E827/22)*(((G814-B814)/8*B839)+F827)),2))))-IF(B814=0,0,0)-IF(B814&lt;=F827*8*B839,E827-ROUND(((E827/22)*(((G814-B814)/8*B839)+F827)),2),0),0)</f>
        <v>0</v>
      </c>
      <c r="K821" s="182">
        <f>G830-R821</f>
        <v>0</v>
      </c>
      <c r="L821" s="182">
        <f>IF(F832&gt;0,IF(F832&lt;190,F832,190),0)</f>
        <v>0</v>
      </c>
      <c r="M821" s="182"/>
      <c r="N821" s="183">
        <f>IF(N820&gt;0,L$3*B839*N820,0)</f>
        <v>0</v>
      </c>
      <c r="O821" s="184">
        <f>IF(C839&lt;=$P$2,IF(G832&gt;0,IF(G832&lt;500,G832,500),0),0)</f>
        <v>0</v>
      </c>
      <c r="P821" s="181">
        <f>IF(G827&gt;0,ROUND(((G827/G814)*B814),2),0)+G826</f>
        <v>0</v>
      </c>
      <c r="Q821" s="182">
        <f>IF(F825&gt;0,ROUND((F825/G814)*B814,2),0)</f>
        <v>0</v>
      </c>
      <c r="R821" s="182">
        <f>IF(G830&gt;0,IF(G830&lt;380,G830,380),0)</f>
        <v>0</v>
      </c>
      <c r="S821" s="185"/>
      <c r="T821" s="627"/>
      <c r="U821" s="628"/>
    </row>
    <row r="822" spans="1:21" ht="60" customHeight="1" thickBot="1" thickTop="1">
      <c r="A822" s="568"/>
      <c r="B822" s="137"/>
      <c r="C822" s="137"/>
      <c r="D822" s="137"/>
      <c r="E822" s="137"/>
      <c r="F822" s="137"/>
      <c r="G822" s="139">
        <f>IF(L810+L823-Q821-P821-K831-J821&gt;$F$1,IF(G821&gt;0,IF(((H831-S832-L837-L831-J821-K821-L821-O834+P839)*(100%-G821))&gt;=(($F$1*B839)-IF(ROUND(((ROUND(($F$1-C839),0.1)*E839)-D839),0.1)&gt;0,ROUND(((ROUND(($F$1-C839),0.1)*E839)-D839),0.1),0)),((H831-S832-L837-L831-J821-K821-L821-O834+P839)*G821)))+IF(G821&gt;0,IF(((H831-S832-L837-L831-J821-K821-L821-O834+P839)*(100%-G821))&lt;(($F$1*B839)-IF(ROUND(((ROUND(($F$1-C839),0.1)*E839)-D839),0.1)&gt;0,ROUND(((ROUND(($F$1-C839),0.1)*E839)-D839),0.1),0)),(H831-S832-L837-L831-J821-K821-L821-O834+P839)-(($F$1*B839)-IF(ROUND(((ROUND(($F$1-C839),0.1)*E839)-D839),0.1)&gt;0,ROUND(((ROUND(($F$1-C839),0.1)*E839)-D839),0.1),0)))),0)</f>
        <v>0</v>
      </c>
      <c r="H822" s="629" t="s">
        <v>135</v>
      </c>
      <c r="I822" s="630"/>
      <c r="J822" s="630"/>
      <c r="K822" s="575">
        <f>L823+P822</f>
        <v>0</v>
      </c>
      <c r="L822" s="576"/>
      <c r="M822" s="631" t="s">
        <v>136</v>
      </c>
      <c r="N822" s="632"/>
      <c r="O822" s="632"/>
      <c r="P822" s="575">
        <f>P823+S823</f>
        <v>0</v>
      </c>
      <c r="Q822" s="575"/>
      <c r="R822" s="186"/>
      <c r="S822" s="186"/>
      <c r="T822" s="187">
        <v>200</v>
      </c>
      <c r="U822" s="188">
        <f>ROUND(((1400/'[1]Li-pł zlec'!$V$1)*'[1]LI-PŁ-prac'!T822),2)+((H821+L823)-ROUND(((H821+L823)*$N$3),2))+O824+P824+P826+R826+S826-O831-L831-M831</f>
        <v>1750</v>
      </c>
    </row>
    <row r="823" spans="1:21" ht="119.25" customHeight="1">
      <c r="A823" s="568"/>
      <c r="B823" s="189" t="s">
        <v>137</v>
      </c>
      <c r="C823" s="190" t="s">
        <v>138</v>
      </c>
      <c r="D823" s="595" t="s">
        <v>139</v>
      </c>
      <c r="E823" s="649" t="s">
        <v>307</v>
      </c>
      <c r="F823" s="191" t="s">
        <v>140</v>
      </c>
      <c r="G823" s="192" t="s">
        <v>141</v>
      </c>
      <c r="H823" s="651" t="s">
        <v>142</v>
      </c>
      <c r="I823" s="652"/>
      <c r="J823" s="652"/>
      <c r="K823" s="652"/>
      <c r="L823" s="193">
        <f>SUM(H826:L826)</f>
        <v>0</v>
      </c>
      <c r="M823" s="625"/>
      <c r="N823" s="626"/>
      <c r="O823" s="626"/>
      <c r="P823" s="193"/>
      <c r="Q823" s="635"/>
      <c r="R823" s="636"/>
      <c r="S823" s="194"/>
      <c r="T823" s="637"/>
      <c r="U823" s="638"/>
    </row>
    <row r="824" spans="1:21" ht="141" customHeight="1" thickBot="1">
      <c r="A824" s="568"/>
      <c r="B824" s="195" t="s">
        <v>143</v>
      </c>
      <c r="C824" s="196"/>
      <c r="D824" s="554"/>
      <c r="E824" s="650"/>
      <c r="F824" s="197">
        <f>IF(F825&gt;0,1,0)</f>
        <v>0</v>
      </c>
      <c r="G824" s="155" t="s">
        <v>308</v>
      </c>
      <c r="H824" s="198" t="s">
        <v>144</v>
      </c>
      <c r="I824" s="199" t="s">
        <v>145</v>
      </c>
      <c r="J824" s="199" t="s">
        <v>146</v>
      </c>
      <c r="K824" s="199" t="s">
        <v>147</v>
      </c>
      <c r="L824" s="200" t="s">
        <v>148</v>
      </c>
      <c r="M824" s="201"/>
      <c r="N824" s="202"/>
      <c r="O824" s="203"/>
      <c r="P824" s="204"/>
      <c r="Q824" s="205"/>
      <c r="R824" s="206"/>
      <c r="S824" s="207"/>
      <c r="T824" s="637"/>
      <c r="U824" s="638"/>
    </row>
    <row r="825" spans="1:21" ht="51.75" customHeight="1">
      <c r="A825" s="568"/>
      <c r="B825" s="208"/>
      <c r="C825" s="595" t="s">
        <v>149</v>
      </c>
      <c r="D825" s="554"/>
      <c r="E825" s="209"/>
      <c r="F825" s="210">
        <f>IF(T811&gt;0,$H$3,0)</f>
        <v>0</v>
      </c>
      <c r="G825" s="211">
        <f>IF(G826+G827&gt;0,1,0)</f>
        <v>0</v>
      </c>
      <c r="H825" s="212">
        <f>IF(H826&gt;0,1,0)</f>
        <v>0</v>
      </c>
      <c r="I825" s="213">
        <f>IF(I826&gt;0,1,0)</f>
        <v>0</v>
      </c>
      <c r="J825" s="213">
        <f>IF(J826&gt;0,1,0)</f>
        <v>0</v>
      </c>
      <c r="K825" s="213">
        <f>IF(K826&gt;0,1,0)</f>
        <v>0</v>
      </c>
      <c r="L825" s="214">
        <f>IF(L826&gt;0,1,0)</f>
        <v>0</v>
      </c>
      <c r="M825" s="639" t="s">
        <v>150</v>
      </c>
      <c r="N825" s="640"/>
      <c r="O825" s="641"/>
      <c r="P825" s="642"/>
      <c r="Q825" s="215"/>
      <c r="R825" s="216"/>
      <c r="S825" s="217"/>
      <c r="T825" s="643"/>
      <c r="U825" s="644"/>
    </row>
    <row r="826" spans="1:21" ht="60.75" customHeight="1" thickBot="1">
      <c r="A826" s="568"/>
      <c r="B826" s="218" t="s">
        <v>151</v>
      </c>
      <c r="C826" s="554"/>
      <c r="D826" s="131"/>
      <c r="E826" s="219">
        <f>IF(E825&gt;0,C$3,0)</f>
        <v>0</v>
      </c>
      <c r="F826" s="220" t="s">
        <v>152</v>
      </c>
      <c r="G826" s="221"/>
      <c r="H826" s="179">
        <f>IF(G818&gt;0,(ROUND((C832*G817),2)*G818),0)+IF(B822&gt;0,(ROUND((C832*B821),2)*B822),0)+IF(F822&gt;0,(ROUND((C832*F821),2)*F822),0)</f>
        <v>0</v>
      </c>
      <c r="I826" s="182">
        <f>IF(E822&gt;0,(ROUND(((D832*D831)/30),2)*E822),0)</f>
        <v>0</v>
      </c>
      <c r="J826" s="182">
        <f>IF(C822&gt;0,(ROUND(C832*C821,2)*C822),0)</f>
        <v>0</v>
      </c>
      <c r="K826" s="182">
        <f>IF(D822&gt;0,(ROUND(C832,2)*D822),0)</f>
        <v>0</v>
      </c>
      <c r="L826" s="222">
        <f>E832</f>
        <v>0</v>
      </c>
      <c r="M826" s="645">
        <f>Q811+M816+L823</f>
        <v>0</v>
      </c>
      <c r="N826" s="646"/>
      <c r="O826" s="202"/>
      <c r="P826" s="223"/>
      <c r="Q826" s="224"/>
      <c r="R826" s="182"/>
      <c r="S826" s="185"/>
      <c r="T826" s="695" t="s">
        <v>153</v>
      </c>
      <c r="U826" s="696"/>
    </row>
    <row r="827" spans="1:21" ht="41.25" customHeight="1" thickTop="1">
      <c r="A827" s="568"/>
      <c r="B827" s="208"/>
      <c r="C827" s="208"/>
      <c r="D827" s="208"/>
      <c r="E827" s="203">
        <f>ROUND((E825*E826),2)</f>
        <v>0</v>
      </c>
      <c r="F827" s="225"/>
      <c r="G827" s="226"/>
      <c r="H827" s="653" t="s">
        <v>309</v>
      </c>
      <c r="I827" s="655" t="s">
        <v>154</v>
      </c>
      <c r="J827" s="657" t="s">
        <v>155</v>
      </c>
      <c r="K827" s="660" t="s">
        <v>156</v>
      </c>
      <c r="L827" s="661" t="s">
        <v>157</v>
      </c>
      <c r="M827" s="661"/>
      <c r="N827" s="661"/>
      <c r="O827" s="662"/>
      <c r="P827" s="663" t="s">
        <v>158</v>
      </c>
      <c r="Q827" s="227" t="s">
        <v>159</v>
      </c>
      <c r="R827" s="228" t="s">
        <v>160</v>
      </c>
      <c r="S827" s="229" t="s">
        <v>161</v>
      </c>
      <c r="T827" s="695" t="s">
        <v>162</v>
      </c>
      <c r="U827" s="696"/>
    </row>
    <row r="828" spans="1:21" ht="92.25" customHeight="1">
      <c r="A828" s="568"/>
      <c r="B828" s="664" t="s">
        <v>163</v>
      </c>
      <c r="C828" s="117" t="s">
        <v>164</v>
      </c>
      <c r="D828" s="337" t="s">
        <v>165</v>
      </c>
      <c r="E828" s="146" t="s">
        <v>166</v>
      </c>
      <c r="F828" s="697" t="s">
        <v>167</v>
      </c>
      <c r="G828" s="191" t="s">
        <v>168</v>
      </c>
      <c r="H828" s="654"/>
      <c r="I828" s="656"/>
      <c r="J828" s="658"/>
      <c r="K828" s="584"/>
      <c r="L828" s="232" t="s">
        <v>169</v>
      </c>
      <c r="M828" s="123" t="s">
        <v>170</v>
      </c>
      <c r="N828" s="136" t="s">
        <v>171</v>
      </c>
      <c r="O828" s="136" t="s">
        <v>172</v>
      </c>
      <c r="P828" s="556"/>
      <c r="Q828" s="233">
        <f>ROUND(IF(S833&gt;$N$4,IF(S833&lt;=$O$4,7866.25+((S833-$N$4)*$O$3)),0)+IF(S833&gt;$O$4,20177.65+((S833-$O$4)*$P$3),0)+IF(S833&lt;=$N$4,IF(S833*E839&gt;0,S833*E839),0),0.1)</f>
        <v>0</v>
      </c>
      <c r="R828" s="234">
        <f>IF(L823&gt;0,ROUND((ROUND((L823),0.1)*E839),0.1),0)</f>
        <v>0</v>
      </c>
      <c r="S828" s="235">
        <f>IF(Q828+R828-D839&gt;=0,Q828+R828-D839,0)+IF(D839-Q828+R828&gt;0&lt;D839+0.001,Q828+R828-D839,0)</f>
        <v>0</v>
      </c>
      <c r="T828" s="695" t="s">
        <v>173</v>
      </c>
      <c r="U828" s="696"/>
    </row>
    <row r="829" spans="1:21" ht="36.75" customHeight="1">
      <c r="A829" s="568"/>
      <c r="B829" s="665"/>
      <c r="C829" s="230"/>
      <c r="D829" s="236"/>
      <c r="E829" s="237"/>
      <c r="F829" s="698"/>
      <c r="G829" s="239" t="s">
        <v>310</v>
      </c>
      <c r="H829" s="654"/>
      <c r="I829" s="656"/>
      <c r="J829" s="658"/>
      <c r="K829" s="584"/>
      <c r="L829" s="123"/>
      <c r="M829" s="240"/>
      <c r="N829" s="241"/>
      <c r="O829" s="136"/>
      <c r="P829" s="556"/>
      <c r="Q829" s="668" t="s">
        <v>174</v>
      </c>
      <c r="R829" s="669"/>
      <c r="S829" s="235">
        <f>ROUND(IF(S828&gt;=L839,S828-L839,0),0.1)</f>
        <v>0</v>
      </c>
      <c r="T829" s="338" t="str">
        <f>L$8</f>
        <v>styczeń</v>
      </c>
      <c r="U829" s="339" t="str">
        <f>N$8</f>
        <v>2011 r.</v>
      </c>
    </row>
    <row r="830" spans="1:21" ht="48" customHeight="1">
      <c r="A830" s="568"/>
      <c r="B830" s="244">
        <f>IF(B831=0,IF(T811&gt;0,IF(T816&gt;0,IF(T816="I kl",O$1)+IF(T816="II kl",P$1)+IF(T816="III kl",Q$1),ROUND((E$1*B839),2)),0),0)</f>
        <v>0</v>
      </c>
      <c r="C830" s="118" t="s">
        <v>175</v>
      </c>
      <c r="D830" s="123" t="s">
        <v>176</v>
      </c>
      <c r="E830" s="245"/>
      <c r="F830" s="698"/>
      <c r="G830" s="139"/>
      <c r="H830" s="246">
        <f>IF(H831&gt;0,1,0)</f>
        <v>0</v>
      </c>
      <c r="I830" s="247">
        <f>IF(I831&gt;0,1,0)</f>
        <v>0</v>
      </c>
      <c r="J830" s="658"/>
      <c r="K830" s="248">
        <f aca="true" t="shared" si="77" ref="K830:P830">IF(K831&gt;0,1,0)</f>
        <v>0</v>
      </c>
      <c r="L830" s="249">
        <f t="shared" si="77"/>
        <v>0</v>
      </c>
      <c r="M830" s="250">
        <f t="shared" si="77"/>
        <v>0</v>
      </c>
      <c r="N830" s="249">
        <f t="shared" si="77"/>
        <v>0</v>
      </c>
      <c r="O830" s="251">
        <f t="shared" si="77"/>
        <v>0</v>
      </c>
      <c r="P830" s="252">
        <f t="shared" si="77"/>
        <v>0</v>
      </c>
      <c r="Q830" s="670" t="s">
        <v>177</v>
      </c>
      <c r="R830" s="253" t="s">
        <v>178</v>
      </c>
      <c r="S830" s="235">
        <v>0</v>
      </c>
      <c r="T830" s="647" t="s">
        <v>179</v>
      </c>
      <c r="U830" s="648"/>
    </row>
    <row r="831" spans="1:21" ht="57.75" customHeight="1" thickBot="1">
      <c r="A831" s="568"/>
      <c r="B831" s="254"/>
      <c r="C831" s="230"/>
      <c r="D831" s="177">
        <v>0.9</v>
      </c>
      <c r="E831" s="255">
        <f>IF(E829&gt;0,$U$1-E830,0)</f>
        <v>0</v>
      </c>
      <c r="F831" s="238">
        <f>IF(F832&gt;0,1,0)</f>
        <v>0</v>
      </c>
      <c r="G831" s="256" t="s">
        <v>180</v>
      </c>
      <c r="H831" s="257">
        <f>P810+L823-P839</f>
        <v>0</v>
      </c>
      <c r="I831" s="233">
        <f>L810+K822</f>
        <v>0</v>
      </c>
      <c r="J831" s="659"/>
      <c r="K831" s="244">
        <f>S815+K821+L821+O821+R821+O834+L837-N831</f>
        <v>0</v>
      </c>
      <c r="L831" s="244"/>
      <c r="M831" s="244">
        <f>G820+IF(G822&gt;0,G822,0)</f>
        <v>0</v>
      </c>
      <c r="N831" s="244">
        <f>L837-L839</f>
        <v>0</v>
      </c>
      <c r="O831" s="244"/>
      <c r="P831" s="258">
        <f>SUM(K831:O831)</f>
        <v>0</v>
      </c>
      <c r="Q831" s="671"/>
      <c r="R831" s="259" t="s">
        <v>181</v>
      </c>
      <c r="S831" s="235">
        <v>0</v>
      </c>
      <c r="T831" s="647" t="s">
        <v>182</v>
      </c>
      <c r="U831" s="648"/>
    </row>
    <row r="832" spans="1:21" ht="45.75" customHeight="1" thickBot="1" thickTop="1">
      <c r="A832" s="569"/>
      <c r="B832" s="244">
        <f>IF(B831=0,ROUND(IF(B830&gt;0,CEILING((B830/G814),0.01),B831),2),B831)</f>
        <v>0</v>
      </c>
      <c r="C832" s="244">
        <f>IF(T811&gt;0,(IF(C829&gt;0,ROUND(((C829-(C829*(B835+C835+D835)))/30),2),0)+IF(C831&gt;0,ROUND((C831/30),2),0))+(IF(IF(C829&gt;0,ROUND(((C829-(C829*(B835+C835+D835)))/30),2),0)+IF(C831&gt;0,ROUND((C831/30),2),0)&lt;ROUND((($F$1*B839)/30),2),(IF(C829+C831&gt;0,ROUND((($F$1*B839)/30),2)-(IF(C829&gt;0,ROUND(((C829-(C829*(B835+C835+D835)))/30),2),0)+IF(C831&gt;0,ROUND((C831/30),2),0)))),0)),0)</f>
        <v>0</v>
      </c>
      <c r="D832" s="244"/>
      <c r="E832" s="244">
        <f>IF(E831&gt;0,IF(ROUND(E829-((E829/30)*E830),2)-H834+O834&gt;0,ROUND(E829-((E829/30)*E830),2)-H834+O834,0),0)</f>
        <v>0</v>
      </c>
      <c r="F832" s="137"/>
      <c r="G832" s="139"/>
      <c r="H832" s="672" t="s">
        <v>183</v>
      </c>
      <c r="I832" s="673"/>
      <c r="J832" s="673"/>
      <c r="K832" s="673"/>
      <c r="L832" s="673"/>
      <c r="M832" s="674" t="s">
        <v>184</v>
      </c>
      <c r="N832" s="675"/>
      <c r="O832" s="260" t="s">
        <v>185</v>
      </c>
      <c r="P832" s="261" t="s">
        <v>186</v>
      </c>
      <c r="Q832" s="676" t="s">
        <v>187</v>
      </c>
      <c r="R832" s="677"/>
      <c r="S832" s="262">
        <f>ROUND((IF(S829-S830&gt;=0,S829-S830,0)+S831),0.1)</f>
        <v>0</v>
      </c>
      <c r="T832" s="263" t="str">
        <f>L$8</f>
        <v>styczeń</v>
      </c>
      <c r="U832" s="264" t="str">
        <f>N$8</f>
        <v>2011 r.</v>
      </c>
    </row>
    <row r="833" spans="1:21" ht="69.75" customHeight="1" thickBot="1" thickTop="1">
      <c r="A833" s="568"/>
      <c r="B833" s="699" t="s">
        <v>188</v>
      </c>
      <c r="C833" s="700"/>
      <c r="D833" s="700"/>
      <c r="E833" s="701"/>
      <c r="F833" s="265" t="s">
        <v>189</v>
      </c>
      <c r="G833" s="266" t="s">
        <v>190</v>
      </c>
      <c r="H833" s="267" t="s">
        <v>191</v>
      </c>
      <c r="I833" s="268" t="s">
        <v>192</v>
      </c>
      <c r="J833" s="269" t="s">
        <v>193</v>
      </c>
      <c r="K833" s="238" t="s">
        <v>194</v>
      </c>
      <c r="L833" s="270" t="s">
        <v>195</v>
      </c>
      <c r="M833" s="198" t="s">
        <v>196</v>
      </c>
      <c r="N833" s="271" t="s">
        <v>197</v>
      </c>
      <c r="O833" s="294" t="s">
        <v>198</v>
      </c>
      <c r="P833" s="273" t="s">
        <v>199</v>
      </c>
      <c r="Q833" s="340" t="s">
        <v>200</v>
      </c>
      <c r="R833" s="275" t="s">
        <v>201</v>
      </c>
      <c r="S833" s="276">
        <f>IF(ROUND((P810-P839-C839),0.1)&gt;0,ROUND((P810-P839-C839),0.1),0)</f>
        <v>0</v>
      </c>
      <c r="T833" s="277"/>
      <c r="U833" s="278"/>
    </row>
    <row r="834" spans="1:21" ht="81" customHeight="1" thickTop="1">
      <c r="A834" s="568"/>
      <c r="B834" s="279" t="s">
        <v>202</v>
      </c>
      <c r="C834" s="279" t="s">
        <v>203</v>
      </c>
      <c r="D834" s="279" t="s">
        <v>204</v>
      </c>
      <c r="E834" s="279" t="s">
        <v>205</v>
      </c>
      <c r="F834" s="279" t="s">
        <v>206</v>
      </c>
      <c r="G834" s="280">
        <f>ROUND((H834*G836),2)</f>
        <v>0</v>
      </c>
      <c r="H834" s="281">
        <f>Q811+O821</f>
        <v>0</v>
      </c>
      <c r="I834" s="282">
        <f>Q811+O821</f>
        <v>0</v>
      </c>
      <c r="J834" s="282">
        <f>Q811+O821</f>
        <v>0</v>
      </c>
      <c r="K834" s="282">
        <f>Q811+O821</f>
        <v>0</v>
      </c>
      <c r="L834" s="283">
        <f>Q811+H821+I821-O834+O821</f>
        <v>0</v>
      </c>
      <c r="M834" s="284">
        <f>IF(D829&gt;0,IF(D829&lt;$U$1,ROUND((($E$1/$U$1)*D829),2),$E$1))+IF(K826&gt;0,K826,0)</f>
        <v>0</v>
      </c>
      <c r="N834" s="285">
        <f>M834</f>
        <v>0</v>
      </c>
      <c r="O834" s="286">
        <f>SUM(H837:J837)</f>
        <v>0</v>
      </c>
      <c r="P834" s="287">
        <f>IF(P835&gt;0,1,0)</f>
        <v>0</v>
      </c>
      <c r="Q834" s="288">
        <f>ROUND((H834-O821-P839+H821+I821)*$R$3,2)</f>
        <v>0</v>
      </c>
      <c r="R834" s="681" t="s">
        <v>207</v>
      </c>
      <c r="S834" s="683" t="s">
        <v>311</v>
      </c>
      <c r="T834" s="289"/>
      <c r="U834" s="278"/>
    </row>
    <row r="835" spans="1:21" ht="38.25" customHeight="1">
      <c r="A835" s="568"/>
      <c r="B835" s="158">
        <f>IF(H834&gt;0,B$2,0)</f>
        <v>0</v>
      </c>
      <c r="C835" s="158">
        <f>IF(I834&gt;0,H$4,0)</f>
        <v>0</v>
      </c>
      <c r="D835" s="158">
        <f>IF(J834&gt;0,F$2,0)</f>
        <v>0</v>
      </c>
      <c r="E835" s="158" t="s">
        <v>208</v>
      </c>
      <c r="F835" s="290" t="s">
        <v>209</v>
      </c>
      <c r="G835" s="291">
        <v>0</v>
      </c>
      <c r="H835" s="685" t="s">
        <v>210</v>
      </c>
      <c r="I835" s="686"/>
      <c r="J835" s="686"/>
      <c r="K835" s="686"/>
      <c r="L835" s="686"/>
      <c r="M835" s="292" t="s">
        <v>211</v>
      </c>
      <c r="N835" s="293" t="s">
        <v>212</v>
      </c>
      <c r="O835" s="294" t="s">
        <v>213</v>
      </c>
      <c r="P835" s="52">
        <f>IF(I834&lt;$E$1,IF(B839=1,IF(T816=0,ROUND((I834*$L$2),2),0),0),ROUND((I834*$L$2),2))</f>
        <v>0</v>
      </c>
      <c r="Q835" s="295" t="s">
        <v>214</v>
      </c>
      <c r="R835" s="682"/>
      <c r="S835" s="684"/>
      <c r="T835" s="289"/>
      <c r="U835" s="278"/>
    </row>
    <row r="836" spans="1:21" ht="42.75" customHeight="1" thickBot="1">
      <c r="A836" s="568"/>
      <c r="B836" s="158">
        <f>IF(H834&gt;0,B$2,0)</f>
        <v>0</v>
      </c>
      <c r="C836" s="158">
        <f>IF(I834&gt;0,D$2,0)</f>
        <v>0</v>
      </c>
      <c r="D836" s="158" t="s">
        <v>208</v>
      </c>
      <c r="E836" s="158">
        <f>IF(K834&gt;0,H$2,0)</f>
        <v>0</v>
      </c>
      <c r="F836" s="158">
        <f>IF(L834&gt;0,J$2,0)</f>
        <v>0</v>
      </c>
      <c r="G836" s="158">
        <f>IF(G835&gt;0,L$1,0)</f>
        <v>0</v>
      </c>
      <c r="H836" s="296" t="s">
        <v>215</v>
      </c>
      <c r="I836" s="297" t="s">
        <v>215</v>
      </c>
      <c r="J836" s="297" t="s">
        <v>215</v>
      </c>
      <c r="K836" s="298" t="s">
        <v>209</v>
      </c>
      <c r="L836" s="299" t="s">
        <v>215</v>
      </c>
      <c r="M836" s="300">
        <f>ROUND(M834*(B$2+B$2),2)</f>
        <v>0</v>
      </c>
      <c r="N836" s="301">
        <f>ROUND(N834*(D$2+H$4),2)</f>
        <v>0</v>
      </c>
      <c r="O836" s="302">
        <f>H839+I839+K839+G834</f>
        <v>0</v>
      </c>
      <c r="P836" s="303" t="s">
        <v>216</v>
      </c>
      <c r="Q836" s="304">
        <f>ROUND((L834*J$2),2)</f>
        <v>0</v>
      </c>
      <c r="R836" s="305" t="s">
        <v>217</v>
      </c>
      <c r="S836" s="684"/>
      <c r="T836" s="289"/>
      <c r="U836" s="278"/>
    </row>
    <row r="837" spans="1:21" ht="53.25" customHeight="1" thickBot="1" thickTop="1">
      <c r="A837" s="568"/>
      <c r="B837" s="141">
        <f>IF(B835+B836&gt;0,1,0)</f>
        <v>0</v>
      </c>
      <c r="C837" s="141">
        <f>IF(C835+C836&gt;0,1,0)</f>
        <v>0</v>
      </c>
      <c r="D837" s="141">
        <f>IF(D835&gt;0,1,0)</f>
        <v>0</v>
      </c>
      <c r="E837" s="141">
        <f>IF(E836&gt;0,1,0)</f>
        <v>0</v>
      </c>
      <c r="F837" s="141">
        <f>IF(F836&gt;0,1,0)</f>
        <v>0</v>
      </c>
      <c r="G837" s="141">
        <f>IF(G836&gt;0,1,0)</f>
        <v>0</v>
      </c>
      <c r="H837" s="306">
        <f>ROUND(H834*B835,2)</f>
        <v>0</v>
      </c>
      <c r="I837" s="307">
        <f>ROUND(I834*C835,2)</f>
        <v>0</v>
      </c>
      <c r="J837" s="307">
        <f>ROUND(J834*D835,2)</f>
        <v>0</v>
      </c>
      <c r="K837" s="244" t="s">
        <v>209</v>
      </c>
      <c r="L837" s="307">
        <f>IF(S828&gt;=ROUND(L834*F836,2),ROUND(L834*F836,2),S828)</f>
        <v>0</v>
      </c>
      <c r="M837" s="687" t="s">
        <v>218</v>
      </c>
      <c r="N837" s="688"/>
      <c r="O837" s="689" t="s">
        <v>219</v>
      </c>
      <c r="P837" s="308">
        <f>IF(P838&gt;0,1,0)</f>
        <v>0</v>
      </c>
      <c r="Q837" s="309" t="s">
        <v>220</v>
      </c>
      <c r="R837" s="310">
        <f>IF(B814=G814,H815+I815+J815+L815+O815+R815+IF(K815&gt;0,ROUND((K815/K813),2),0),0)+IF(B814&lt;G814,IF(B814&gt;0,ROUND((((H815+J815)/B814)*(G814-B827)),2)+IF(K815&gt;0,ROUND((K815/K813),2),0)+I815+L815+O815+R815,0),0)</f>
        <v>0</v>
      </c>
      <c r="S837" s="235">
        <f>IF(S829-S830&lt;0,S830-S829,0)</f>
        <v>0</v>
      </c>
      <c r="T837" s="289"/>
      <c r="U837" s="278"/>
    </row>
    <row r="838" spans="1:22" ht="63" customHeight="1" thickBot="1" thickTop="1">
      <c r="A838" s="568"/>
      <c r="B838" s="311" t="s">
        <v>221</v>
      </c>
      <c r="C838" s="311" t="s">
        <v>222</v>
      </c>
      <c r="D838" s="311" t="s">
        <v>34</v>
      </c>
      <c r="E838" s="146" t="s">
        <v>223</v>
      </c>
      <c r="F838" s="312" t="s">
        <v>224</v>
      </c>
      <c r="G838" s="139">
        <f>IF(Q834&gt;Q828,Q834-Q828,0)</f>
        <v>0</v>
      </c>
      <c r="H838" s="313" t="s">
        <v>225</v>
      </c>
      <c r="I838" s="314" t="s">
        <v>225</v>
      </c>
      <c r="J838" s="298" t="s">
        <v>209</v>
      </c>
      <c r="K838" s="315" t="s">
        <v>225</v>
      </c>
      <c r="L838" s="316" t="s">
        <v>226</v>
      </c>
      <c r="M838" s="317" t="s">
        <v>227</v>
      </c>
      <c r="N838" s="318" t="s">
        <v>228</v>
      </c>
      <c r="O838" s="690"/>
      <c r="P838" s="319">
        <f>ROUND(N$2*H834,2)</f>
        <v>0</v>
      </c>
      <c r="Q838" s="320">
        <f>IF(D829&gt;0,$U$2,0)</f>
        <v>0</v>
      </c>
      <c r="R838" s="321" t="s">
        <v>229</v>
      </c>
      <c r="S838" s="322" t="s">
        <v>230</v>
      </c>
      <c r="T838" s="691" t="s">
        <v>231</v>
      </c>
      <c r="U838" s="702"/>
      <c r="V838" s="323">
        <f>IF(ISBLANK(AM810),0,IF(IF(AF825&gt;=AI$2,AI$2,AF825)&gt;0,IF(AF825&gt;=AI$2,AI$2,AF825),0))</f>
        <v>0</v>
      </c>
    </row>
    <row r="839" spans="1:22" ht="42" customHeight="1" thickBot="1" thickTop="1">
      <c r="A839" s="570"/>
      <c r="B839" s="324">
        <f>IF(ISBLANK(T811),0,1)</f>
        <v>0</v>
      </c>
      <c r="C839" s="324">
        <f>IF(ISBLANK(T811),0,IF(IF(M826&gt;=P$2,P$2,M826)&gt;0,IF(M826&gt;=P$2,P$2,M826),0))</f>
        <v>0</v>
      </c>
      <c r="D839" s="324">
        <f>IF(ISBLANK(T811),0,S$1)</f>
        <v>0</v>
      </c>
      <c r="E839" s="325">
        <f>IF(G814&gt;0,$N$3,0)</f>
        <v>0</v>
      </c>
      <c r="F839" s="326">
        <f>O834+O836+P835+P838+L837+S832</f>
        <v>0</v>
      </c>
      <c r="G839" s="327">
        <f>IF(G838&gt;0,1,0)</f>
        <v>0</v>
      </c>
      <c r="H839" s="328">
        <f>ROUND(H834*B835,2)</f>
        <v>0</v>
      </c>
      <c r="I839" s="329">
        <f>ROUND(I834*C836,2)</f>
        <v>0</v>
      </c>
      <c r="J839" s="182" t="s">
        <v>209</v>
      </c>
      <c r="K839" s="330">
        <f>ROUND(K834*E836,2)</f>
        <v>0</v>
      </c>
      <c r="L839" s="185">
        <f>IF(S828&gt;=ROUND((H834-O821-P839+H821+I821)*$R$3,2),ROUND((H834-O821-P839+H821+I821)*$R$3,2),S828)</f>
        <v>0</v>
      </c>
      <c r="M839" s="179">
        <f>O834+O836</f>
        <v>0</v>
      </c>
      <c r="N839" s="331">
        <f>M839+L837</f>
        <v>0</v>
      </c>
      <c r="O839" s="332">
        <f>SUM(M836:N836)</f>
        <v>0</v>
      </c>
      <c r="P839" s="333">
        <f>ROUND(Q811*B835,2)+ROUND(Q811*C835,2)+ROUND(Q811*D835,2)</f>
        <v>0</v>
      </c>
      <c r="Q839" s="334">
        <f>IF(D829&gt;0,ROUND(($U$2*J$2),2),0)</f>
        <v>0</v>
      </c>
      <c r="R839" s="335">
        <f>IF(B814&gt;=G814/2,IF(B814=G814,H815+I815+J815+L815+O815+P815+R815+IF(K815&gt;0,ROUND((K815/K813),2),0),ROUND((((H815+J815+L815)/B814)*(G814-B827)),2)+IF(K815&gt;0,ROUND((K815/K813),2),0)+I815+O815+P815+R815),0)</f>
        <v>0</v>
      </c>
      <c r="S839" s="336">
        <f>IF(P810-O834-S832-L837&gt;0,P810-O834-S832-L837,0)</f>
        <v>0</v>
      </c>
      <c r="T839" s="693" t="s">
        <v>232</v>
      </c>
      <c r="U839" s="703"/>
      <c r="V839" s="323">
        <f>IF(ISBLANK(AM811),0,IF(IF(AF826&gt;=AJ$2,AJ$2,AF826)&gt;0,IF(AF826&gt;=AJ$2,AJ$2,AF826),0))</f>
        <v>0</v>
      </c>
    </row>
    <row r="840" ht="24" customHeight="1" thickTop="1"/>
    <row r="841" spans="1:23" ht="33" customHeight="1" thickBot="1">
      <c r="A841" s="111" t="s">
        <v>72</v>
      </c>
      <c r="B841" s="112" t="s">
        <v>73</v>
      </c>
      <c r="C841" s="113"/>
      <c r="D841" s="113"/>
      <c r="E841" s="114"/>
      <c r="F841" s="553" t="s">
        <v>74</v>
      </c>
      <c r="G841" s="555" t="s">
        <v>75</v>
      </c>
      <c r="H841" s="557" t="s">
        <v>76</v>
      </c>
      <c r="I841" s="557"/>
      <c r="J841" s="558"/>
      <c r="K841" s="559"/>
      <c r="L841" s="560"/>
      <c r="M841" s="560"/>
      <c r="N841" s="560"/>
      <c r="O841" s="561"/>
      <c r="P841" s="559"/>
      <c r="Q841" s="560"/>
      <c r="R841" s="560"/>
      <c r="S841" s="560"/>
      <c r="T841" s="565" t="s">
        <v>77</v>
      </c>
      <c r="U841" s="566"/>
      <c r="V841" s="102"/>
      <c r="W841" s="115"/>
    </row>
    <row r="842" spans="1:23" ht="44.25" customHeight="1" thickBot="1" thickTop="1">
      <c r="A842" s="567">
        <f>A810+1</f>
        <v>27</v>
      </c>
      <c r="B842" s="571" t="s">
        <v>79</v>
      </c>
      <c r="C842" s="571" t="s">
        <v>80</v>
      </c>
      <c r="D842" s="573" t="s">
        <v>81</v>
      </c>
      <c r="E842" s="573"/>
      <c r="F842" s="554"/>
      <c r="G842" s="556"/>
      <c r="H842" s="574" t="s">
        <v>82</v>
      </c>
      <c r="I842" s="574"/>
      <c r="J842" s="574"/>
      <c r="K842" s="574"/>
      <c r="L842" s="575">
        <f>P842+S848</f>
        <v>0</v>
      </c>
      <c r="M842" s="576"/>
      <c r="N842" s="577" t="s">
        <v>83</v>
      </c>
      <c r="O842" s="578"/>
      <c r="P842" s="575">
        <f>Q843+M848</f>
        <v>0</v>
      </c>
      <c r="Q842" s="576"/>
      <c r="R842" s="119"/>
      <c r="S842" s="120"/>
      <c r="T842" s="121"/>
      <c r="U842" s="122"/>
      <c r="V842" s="102"/>
      <c r="W842" s="115"/>
    </row>
    <row r="843" spans="1:23" ht="36.75" customHeight="1">
      <c r="A843" s="568"/>
      <c r="B843" s="572"/>
      <c r="C843" s="572"/>
      <c r="D843" s="124" t="s">
        <v>85</v>
      </c>
      <c r="E843" s="124" t="s">
        <v>86</v>
      </c>
      <c r="F843" s="554"/>
      <c r="G843" s="556"/>
      <c r="H843" s="562" t="s">
        <v>87</v>
      </c>
      <c r="I843" s="563"/>
      <c r="J843" s="563"/>
      <c r="K843" s="563"/>
      <c r="L843" s="563"/>
      <c r="M843" s="563"/>
      <c r="N843" s="563"/>
      <c r="O843" s="563"/>
      <c r="P843" s="564"/>
      <c r="Q843" s="579">
        <f>SUM(H847:S847)</f>
        <v>0</v>
      </c>
      <c r="R843" s="580"/>
      <c r="S843" s="125"/>
      <c r="T843" s="581"/>
      <c r="U843" s="582"/>
      <c r="V843" s="102"/>
      <c r="W843" s="115"/>
    </row>
    <row r="844" spans="1:23" ht="38.25" customHeight="1">
      <c r="A844" s="568"/>
      <c r="B844" s="572"/>
      <c r="C844" s="126"/>
      <c r="D844" s="124" t="s">
        <v>89</v>
      </c>
      <c r="E844" s="124" t="s">
        <v>89</v>
      </c>
      <c r="F844" s="554"/>
      <c r="G844" s="127"/>
      <c r="H844" s="128" t="s">
        <v>90</v>
      </c>
      <c r="I844" s="129" t="s">
        <v>91</v>
      </c>
      <c r="J844" s="129" t="s">
        <v>92</v>
      </c>
      <c r="K844" s="130" t="s">
        <v>93</v>
      </c>
      <c r="L844" s="583" t="s">
        <v>94</v>
      </c>
      <c r="M844" s="583" t="s">
        <v>95</v>
      </c>
      <c r="N844" s="583" t="s">
        <v>96</v>
      </c>
      <c r="O844" s="585" t="s">
        <v>97</v>
      </c>
      <c r="P844" s="583" t="s">
        <v>98</v>
      </c>
      <c r="Q844" s="587" t="s">
        <v>99</v>
      </c>
      <c r="R844" s="589" t="s">
        <v>100</v>
      </c>
      <c r="S844" s="591" t="s">
        <v>101</v>
      </c>
      <c r="T844" s="581"/>
      <c r="U844" s="582"/>
      <c r="V844" s="102"/>
      <c r="W844" s="115"/>
    </row>
    <row r="845" spans="1:23" ht="30" customHeight="1">
      <c r="A845" s="568"/>
      <c r="B845" s="572"/>
      <c r="C845" s="131"/>
      <c r="D845" s="131"/>
      <c r="E845" s="131"/>
      <c r="F845" s="554"/>
      <c r="G845" s="127"/>
      <c r="H845" s="132" t="s">
        <v>103</v>
      </c>
      <c r="I845" s="133" t="s">
        <v>104</v>
      </c>
      <c r="J845" s="134">
        <v>0</v>
      </c>
      <c r="K845" s="135">
        <v>1</v>
      </c>
      <c r="L845" s="584"/>
      <c r="M845" s="584"/>
      <c r="N845" s="584"/>
      <c r="O845" s="586"/>
      <c r="P845" s="584"/>
      <c r="Q845" s="588"/>
      <c r="R845" s="590"/>
      <c r="S845" s="592"/>
      <c r="T845" s="581"/>
      <c r="U845" s="582"/>
      <c r="V845" s="102"/>
      <c r="W845" s="115"/>
    </row>
    <row r="846" spans="1:21" ht="51" customHeight="1">
      <c r="A846" s="568"/>
      <c r="B846" s="137">
        <f>G846</f>
        <v>0</v>
      </c>
      <c r="C846" s="137"/>
      <c r="D846" s="137"/>
      <c r="E846" s="138"/>
      <c r="F846" s="138"/>
      <c r="G846" s="139">
        <f>B$1*B871</f>
        <v>0</v>
      </c>
      <c r="H846" s="140">
        <f aca="true" t="shared" si="78" ref="H846:S846">IF(H847&gt;0,1,0)</f>
        <v>0</v>
      </c>
      <c r="I846" s="141">
        <f t="shared" si="78"/>
        <v>0</v>
      </c>
      <c r="J846" s="141">
        <f t="shared" si="78"/>
        <v>0</v>
      </c>
      <c r="K846" s="142">
        <f t="shared" si="78"/>
        <v>0</v>
      </c>
      <c r="L846" s="142">
        <f t="shared" si="78"/>
        <v>0</v>
      </c>
      <c r="M846" s="142">
        <f t="shared" si="78"/>
        <v>0</v>
      </c>
      <c r="N846" s="142">
        <f t="shared" si="78"/>
        <v>0</v>
      </c>
      <c r="O846" s="141">
        <f t="shared" si="78"/>
        <v>0</v>
      </c>
      <c r="P846" s="142">
        <f t="shared" si="78"/>
        <v>0</v>
      </c>
      <c r="Q846" s="142">
        <f t="shared" si="78"/>
        <v>0</v>
      </c>
      <c r="R846" s="143">
        <f t="shared" si="78"/>
        <v>0</v>
      </c>
      <c r="S846" s="144">
        <f t="shared" si="78"/>
        <v>0</v>
      </c>
      <c r="T846" s="593"/>
      <c r="U846" s="594"/>
    </row>
    <row r="847" spans="1:22" ht="49.5" customHeight="1" thickBot="1">
      <c r="A847" s="568"/>
      <c r="B847" s="595" t="s">
        <v>106</v>
      </c>
      <c r="C847" s="595" t="s">
        <v>107</v>
      </c>
      <c r="D847" s="596" t="s">
        <v>108</v>
      </c>
      <c r="E847" s="148" t="s">
        <v>109</v>
      </c>
      <c r="F847" s="149"/>
      <c r="G847" s="597" t="s">
        <v>110</v>
      </c>
      <c r="H847" s="150">
        <f>IF(B846+B850+B857+B859+C856+D850+F847&gt;0,IF(B862&gt;0,B862-(IF(E850+F850+G850+B854+C854+D854+E854+F854&gt;0,ROUND((B862/30)*IF(E850+F850+G850+B854+C854+D854+E854+F854&lt;31,E850+F850+G850+B854+C854+D854+E854+F854,30),2),0)+ROUND(((B862/G846)*(B850+B857+B859+C856+D850)),2)),0),0)+IF(B846&gt;G846,IF(B862&gt;0,(B846-G846)*B864,0),0)+IF(B863&gt;0,B863*B846,0)-IF(IF(B846+B850+B857+B859+C856+D850+F847&gt;0,IF(B862&gt;0,B862-(IF(E850+F850+G850+B854+C854+D854+E854+F854&gt;0,ROUND((B862/30)*IF(E850+F850+G850+B854+C854+D854+E854+F854&lt;31,E850+F850+G850+B854+C854+D854+E854+F854,30),2),0)+ROUND(((B862/G846)*(B850+B857+B859+C856+D850)),2)),0),0)&lt;0,IF(B846+B850+B857+B859+C856+D850+F847&gt;0,IF(B862&gt;0,B862-(IF(E850+F850+G850+B854+C854+D854+E854+F854&gt;0,ROUND((B862/30)*IF(E850+F850+G850+B854+C854+D854+E854+F854&lt;31,E850+F850+G850+B854+C854+D854+E854+F854,30),2),0)+ROUND(((B862/G846)*(B850+B857+B859+C856+D850)),2)),0),0),0)</f>
        <v>0</v>
      </c>
      <c r="I847" s="151">
        <f>ROUND(D846*ROUND(B864*150%,2)+E846*ROUND(B864*200%,2),2)</f>
        <v>0</v>
      </c>
      <c r="J847" s="151">
        <f>ROUND((J845*H847),2)</f>
        <v>0</v>
      </c>
      <c r="K847" s="151"/>
      <c r="L847" s="151">
        <f>IF(C846&gt;0,C846*ROUND(B864*U$3,2),0)+IF(U$3=0,IF(C846&gt;0,C846*ROUND(20%*ROUND(E$1/G846,2),2),0))</f>
        <v>0</v>
      </c>
      <c r="M847" s="151">
        <f>IF(B850&gt;0,ROUND((B850*C859),2),0)</f>
        <v>0</v>
      </c>
      <c r="N847" s="151">
        <f>IF(B846+D846+E846+F846&gt;0,ROUND((((H847+I847+J847+L847+O847)/(B846+D846+E846+F846))*D850),2),B864*D850)</f>
        <v>0</v>
      </c>
      <c r="O847" s="151">
        <f>ROUND((F846*B864),2)</f>
        <v>0</v>
      </c>
      <c r="P847" s="151">
        <f>IF(C850&gt;0,ROUND((D859/($I$1*8*B871)),2)*C850,0)</f>
        <v>0</v>
      </c>
      <c r="Q847" s="151"/>
      <c r="R847" s="152"/>
      <c r="S847" s="153">
        <f>IF(G864&gt;500,G864-500,0)+IF(F864&gt;190,F864-190,0)</f>
        <v>0</v>
      </c>
      <c r="T847" s="593"/>
      <c r="U847" s="594"/>
      <c r="V847" s="154"/>
    </row>
    <row r="848" spans="1:21" ht="57" customHeight="1">
      <c r="A848" s="568"/>
      <c r="B848" s="554"/>
      <c r="C848" s="554"/>
      <c r="D848" s="554"/>
      <c r="E848" s="599" t="s">
        <v>112</v>
      </c>
      <c r="F848" s="599"/>
      <c r="G848" s="598"/>
      <c r="H848" s="600" t="s">
        <v>113</v>
      </c>
      <c r="I848" s="601"/>
      <c r="J848" s="601"/>
      <c r="K848" s="601"/>
      <c r="L848" s="601"/>
      <c r="M848" s="602">
        <f>H853+I853+M849</f>
        <v>0</v>
      </c>
      <c r="N848" s="603"/>
      <c r="O848" s="604" t="s">
        <v>114</v>
      </c>
      <c r="P848" s="604"/>
      <c r="Q848" s="604"/>
      <c r="R848" s="604"/>
      <c r="S848" s="156">
        <f>S849+O853</f>
        <v>0</v>
      </c>
      <c r="T848" s="605"/>
      <c r="U848" s="606"/>
    </row>
    <row r="849" spans="1:21" ht="38.25" customHeight="1">
      <c r="A849" s="568"/>
      <c r="B849" s="157"/>
      <c r="C849" s="131"/>
      <c r="D849" s="131"/>
      <c r="E849" s="158">
        <v>0.8</v>
      </c>
      <c r="F849" s="158">
        <v>1</v>
      </c>
      <c r="G849" s="159">
        <v>0.8</v>
      </c>
      <c r="H849" s="607" t="s">
        <v>115</v>
      </c>
      <c r="I849" s="608"/>
      <c r="J849" s="609" t="s">
        <v>116</v>
      </c>
      <c r="K849" s="610"/>
      <c r="L849" s="610"/>
      <c r="M849" s="611">
        <f>SUM(J853:N853)</f>
        <v>0</v>
      </c>
      <c r="N849" s="612"/>
      <c r="O849" s="160" t="s">
        <v>117</v>
      </c>
      <c r="P849" s="613" t="s">
        <v>118</v>
      </c>
      <c r="Q849" s="614"/>
      <c r="R849" s="615"/>
      <c r="S849" s="161">
        <f>SUM(P853:S853)</f>
        <v>0</v>
      </c>
      <c r="T849" s="616"/>
      <c r="U849" s="617"/>
    </row>
    <row r="850" spans="1:21" ht="40.5" customHeight="1">
      <c r="A850" s="568"/>
      <c r="B850" s="137"/>
      <c r="C850" s="137"/>
      <c r="D850" s="137"/>
      <c r="E850" s="137"/>
      <c r="F850" s="137"/>
      <c r="G850" s="139"/>
      <c r="H850" s="618" t="s">
        <v>119</v>
      </c>
      <c r="I850" s="162"/>
      <c r="J850" s="620" t="s">
        <v>120</v>
      </c>
      <c r="K850" s="595" t="s">
        <v>121</v>
      </c>
      <c r="L850" s="595" t="s">
        <v>122</v>
      </c>
      <c r="M850" s="595" t="s">
        <v>123</v>
      </c>
      <c r="N850" s="163" t="s">
        <v>124</v>
      </c>
      <c r="O850" s="622" t="s">
        <v>125</v>
      </c>
      <c r="P850" s="624" t="s">
        <v>126</v>
      </c>
      <c r="Q850" s="584" t="s">
        <v>127</v>
      </c>
      <c r="R850" s="634" t="s">
        <v>128</v>
      </c>
      <c r="S850" s="633" t="s">
        <v>129</v>
      </c>
      <c r="T850" s="164"/>
      <c r="U850" s="165"/>
    </row>
    <row r="851" spans="1:21" ht="39.75" customHeight="1">
      <c r="A851" s="568"/>
      <c r="B851" s="571" t="s">
        <v>110</v>
      </c>
      <c r="C851" s="571" t="s">
        <v>130</v>
      </c>
      <c r="D851" s="571" t="s">
        <v>131</v>
      </c>
      <c r="E851" s="571" t="s">
        <v>132</v>
      </c>
      <c r="F851" s="571" t="s">
        <v>110</v>
      </c>
      <c r="G851" s="166" t="s">
        <v>133</v>
      </c>
      <c r="H851" s="619"/>
      <c r="I851" s="167"/>
      <c r="J851" s="621"/>
      <c r="K851" s="554"/>
      <c r="L851" s="554"/>
      <c r="M851" s="554"/>
      <c r="N851" s="168" t="s">
        <v>134</v>
      </c>
      <c r="O851" s="623"/>
      <c r="P851" s="624"/>
      <c r="Q851" s="584"/>
      <c r="R851" s="634"/>
      <c r="S851" s="633"/>
      <c r="T851" s="627">
        <f>I863-S864-P863</f>
        <v>0</v>
      </c>
      <c r="U851" s="628"/>
    </row>
    <row r="852" spans="1:21" ht="35.25" customHeight="1">
      <c r="A852" s="568"/>
      <c r="B852" s="572"/>
      <c r="C852" s="572"/>
      <c r="D852" s="572"/>
      <c r="E852" s="572"/>
      <c r="F852" s="572"/>
      <c r="G852" s="139"/>
      <c r="H852" s="169">
        <f aca="true" t="shared" si="79" ref="H852:M852">IF(H853&gt;0,1,0)</f>
        <v>0</v>
      </c>
      <c r="I852" s="170">
        <f t="shared" si="79"/>
        <v>0</v>
      </c>
      <c r="J852" s="171">
        <f t="shared" si="79"/>
        <v>0</v>
      </c>
      <c r="K852" s="172">
        <f t="shared" si="79"/>
        <v>0</v>
      </c>
      <c r="L852" s="173">
        <f t="shared" si="79"/>
        <v>0</v>
      </c>
      <c r="M852" s="173">
        <f t="shared" si="79"/>
        <v>0</v>
      </c>
      <c r="N852" s="174">
        <v>0</v>
      </c>
      <c r="O852" s="175">
        <f>IF(O853&gt;0,1,0)</f>
        <v>0</v>
      </c>
      <c r="P852" s="171">
        <f>IF(P853&gt;0,1,0)</f>
        <v>0</v>
      </c>
      <c r="Q852" s="173">
        <f>IF(Q853&gt;0,1,0)</f>
        <v>0</v>
      </c>
      <c r="R852" s="173">
        <f>IF(R853&gt;0,1,0)</f>
        <v>0</v>
      </c>
      <c r="S852" s="176">
        <f>IF(S853&gt;0,1,0)</f>
        <v>0</v>
      </c>
      <c r="T852" s="627"/>
      <c r="U852" s="628"/>
    </row>
    <row r="853" spans="1:21" ht="36" customHeight="1" thickBot="1">
      <c r="A853" s="568"/>
      <c r="B853" s="177">
        <v>1</v>
      </c>
      <c r="C853" s="177">
        <v>0.8</v>
      </c>
      <c r="D853" s="572"/>
      <c r="E853" s="572"/>
      <c r="F853" s="177">
        <v>0.7</v>
      </c>
      <c r="G853" s="178">
        <v>0</v>
      </c>
      <c r="H853" s="179">
        <f>IF(E850&gt;0,ROUND((C864*E849),2)*E850,0)+IF(F850&gt;0,C864*F850,0)</f>
        <v>0</v>
      </c>
      <c r="I853" s="180"/>
      <c r="J853" s="181">
        <f>IF(G846&gt;0,IF(B846&gt;=G846,E859-((E859/22)*F859),(E859-(ROUND(((E859/22)*(((G846-B846)/8*B871)+F859)),2))))-IF(B846=0,0,0)-IF(B846&lt;=F859*8*B871,E859-ROUND(((E859/22)*(((G846-B846)/8*B871)+F859)),2),0),0)</f>
        <v>0</v>
      </c>
      <c r="K853" s="182">
        <f>G862-R853</f>
        <v>0</v>
      </c>
      <c r="L853" s="182">
        <f>IF(F864&gt;0,IF(F864&lt;190,F864,190),0)</f>
        <v>0</v>
      </c>
      <c r="M853" s="182"/>
      <c r="N853" s="183">
        <f>IF(N852&gt;0,L$3*B871*N852,0)</f>
        <v>0</v>
      </c>
      <c r="O853" s="184">
        <f>IF(C871&lt;=$P$2,IF(G864&gt;0,IF(G864&lt;500,G864,500),0),0)</f>
        <v>0</v>
      </c>
      <c r="P853" s="181">
        <f>IF(G859&gt;0,ROUND(((G859/G846)*B846),2),0)+G858</f>
        <v>0</v>
      </c>
      <c r="Q853" s="182">
        <f>IF(F857&gt;0,ROUND((F857/G846)*B846,2),0)</f>
        <v>0</v>
      </c>
      <c r="R853" s="182">
        <f>IF(G862&gt;0,IF(G862&lt;380,G862,380),0)</f>
        <v>0</v>
      </c>
      <c r="S853" s="185"/>
      <c r="T853" s="627"/>
      <c r="U853" s="628"/>
    </row>
    <row r="854" spans="1:21" ht="60" customHeight="1" thickBot="1" thickTop="1">
      <c r="A854" s="568"/>
      <c r="B854" s="137"/>
      <c r="C854" s="137"/>
      <c r="D854" s="137"/>
      <c r="E854" s="137"/>
      <c r="F854" s="137"/>
      <c r="G854" s="139">
        <f>IF(L842+L855-Q853-P853-K863-J853&gt;$F$1,IF(G853&gt;0,IF(((H863-S864-L869-L863-J853-K853-L853-O866+P871)*(100%-G853))&gt;=(($F$1*B871)-IF(ROUND(((ROUND(($F$1-C871),0.1)*E871)-D871),0.1)&gt;0,ROUND(((ROUND(($F$1-C871),0.1)*E871)-D871),0.1),0)),((H863-S864-L869-L863-J853-K853-L853-O866+P871)*G853)))+IF(G853&gt;0,IF(((H863-S864-L869-L863-J853-K853-L853-O866+P871)*(100%-G853))&lt;(($F$1*B871)-IF(ROUND(((ROUND(($F$1-C871),0.1)*E871)-D871),0.1)&gt;0,ROUND(((ROUND(($F$1-C871),0.1)*E871)-D871),0.1),0)),(H863-S864-L869-L863-J853-K853-L853-O866+P871)-(($F$1*B871)-IF(ROUND(((ROUND(($F$1-C871),0.1)*E871)-D871),0.1)&gt;0,ROUND(((ROUND(($F$1-C871),0.1)*E871)-D871),0.1),0)))),0)</f>
        <v>0</v>
      </c>
      <c r="H854" s="629" t="s">
        <v>135</v>
      </c>
      <c r="I854" s="630"/>
      <c r="J854" s="630"/>
      <c r="K854" s="575">
        <f>L855+P854</f>
        <v>0</v>
      </c>
      <c r="L854" s="576"/>
      <c r="M854" s="631" t="s">
        <v>136</v>
      </c>
      <c r="N854" s="632"/>
      <c r="O854" s="632"/>
      <c r="P854" s="575">
        <f>P855+S855</f>
        <v>0</v>
      </c>
      <c r="Q854" s="575"/>
      <c r="R854" s="186"/>
      <c r="S854" s="186"/>
      <c r="T854" s="187">
        <v>200</v>
      </c>
      <c r="U854" s="188">
        <f>ROUND(((1400/'[1]Li-pł zlec'!$V$1)*'[1]LI-PŁ-prac'!T854),2)+((H853+L855)-ROUND(((H853+L855)*$N$3),2))+O856+P856+P858+R858+S858-O863-L863-M863</f>
        <v>1750</v>
      </c>
    </row>
    <row r="855" spans="1:21" ht="119.25" customHeight="1">
      <c r="A855" s="568"/>
      <c r="B855" s="189" t="s">
        <v>137</v>
      </c>
      <c r="C855" s="190" t="s">
        <v>138</v>
      </c>
      <c r="D855" s="595" t="s">
        <v>139</v>
      </c>
      <c r="E855" s="649" t="s">
        <v>307</v>
      </c>
      <c r="F855" s="191" t="s">
        <v>140</v>
      </c>
      <c r="G855" s="192" t="s">
        <v>141</v>
      </c>
      <c r="H855" s="651" t="s">
        <v>142</v>
      </c>
      <c r="I855" s="652"/>
      <c r="J855" s="652"/>
      <c r="K855" s="652"/>
      <c r="L855" s="193">
        <f>SUM(H858:L858)</f>
        <v>0</v>
      </c>
      <c r="M855" s="625"/>
      <c r="N855" s="626"/>
      <c r="O855" s="626"/>
      <c r="P855" s="193"/>
      <c r="Q855" s="635"/>
      <c r="R855" s="636"/>
      <c r="S855" s="194"/>
      <c r="T855" s="637"/>
      <c r="U855" s="638"/>
    </row>
    <row r="856" spans="1:21" ht="141" customHeight="1" thickBot="1">
      <c r="A856" s="568"/>
      <c r="B856" s="195" t="s">
        <v>143</v>
      </c>
      <c r="C856" s="196"/>
      <c r="D856" s="554"/>
      <c r="E856" s="650"/>
      <c r="F856" s="197">
        <f>IF(F857&gt;0,1,0)</f>
        <v>0</v>
      </c>
      <c r="G856" s="155" t="s">
        <v>308</v>
      </c>
      <c r="H856" s="198" t="s">
        <v>144</v>
      </c>
      <c r="I856" s="199" t="s">
        <v>145</v>
      </c>
      <c r="J856" s="199" t="s">
        <v>146</v>
      </c>
      <c r="K856" s="199" t="s">
        <v>147</v>
      </c>
      <c r="L856" s="200" t="s">
        <v>148</v>
      </c>
      <c r="M856" s="201"/>
      <c r="N856" s="202"/>
      <c r="O856" s="203"/>
      <c r="P856" s="204"/>
      <c r="Q856" s="205"/>
      <c r="R856" s="206"/>
      <c r="S856" s="207"/>
      <c r="T856" s="637"/>
      <c r="U856" s="638"/>
    </row>
    <row r="857" spans="1:21" ht="51.75" customHeight="1">
      <c r="A857" s="568"/>
      <c r="B857" s="208"/>
      <c r="C857" s="595" t="s">
        <v>149</v>
      </c>
      <c r="D857" s="554"/>
      <c r="E857" s="209"/>
      <c r="F857" s="210">
        <f>IF(T843&gt;0,$H$3,0)</f>
        <v>0</v>
      </c>
      <c r="G857" s="211">
        <f>IF(G858+G859&gt;0,1,0)</f>
        <v>0</v>
      </c>
      <c r="H857" s="212">
        <f>IF(H858&gt;0,1,0)</f>
        <v>0</v>
      </c>
      <c r="I857" s="213">
        <f>IF(I858&gt;0,1,0)</f>
        <v>0</v>
      </c>
      <c r="J857" s="213">
        <f>IF(J858&gt;0,1,0)</f>
        <v>0</v>
      </c>
      <c r="K857" s="213">
        <f>IF(K858&gt;0,1,0)</f>
        <v>0</v>
      </c>
      <c r="L857" s="214">
        <f>IF(L858&gt;0,1,0)</f>
        <v>0</v>
      </c>
      <c r="M857" s="639" t="s">
        <v>150</v>
      </c>
      <c r="N857" s="640"/>
      <c r="O857" s="641"/>
      <c r="P857" s="642"/>
      <c r="Q857" s="215"/>
      <c r="R857" s="216"/>
      <c r="S857" s="217"/>
      <c r="T857" s="643"/>
      <c r="U857" s="644"/>
    </row>
    <row r="858" spans="1:21" ht="60.75" customHeight="1" thickBot="1">
      <c r="A858" s="568"/>
      <c r="B858" s="218" t="s">
        <v>151</v>
      </c>
      <c r="C858" s="554"/>
      <c r="D858" s="131"/>
      <c r="E858" s="219">
        <f>IF(E857&gt;0,C$3,0)</f>
        <v>0</v>
      </c>
      <c r="F858" s="220" t="s">
        <v>152</v>
      </c>
      <c r="G858" s="221"/>
      <c r="H858" s="179">
        <f>IF(G850&gt;0,(ROUND((C864*G849),2)*G850),0)+IF(B854&gt;0,(ROUND((C864*B853),2)*B854),0)+IF(F854&gt;0,(ROUND((C864*F853),2)*F854),0)</f>
        <v>0</v>
      </c>
      <c r="I858" s="182">
        <f>IF(E854&gt;0,(ROUND(((D864*D863)/30),2)*E854),0)</f>
        <v>0</v>
      </c>
      <c r="J858" s="182">
        <f>IF(C854&gt;0,(ROUND(C864*C853,2)*C854),0)</f>
        <v>0</v>
      </c>
      <c r="K858" s="182">
        <f>IF(D854&gt;0,(ROUND(C864,2)*D854),0)</f>
        <v>0</v>
      </c>
      <c r="L858" s="222">
        <f>E864</f>
        <v>0</v>
      </c>
      <c r="M858" s="645">
        <f>Q843+M848+L855</f>
        <v>0</v>
      </c>
      <c r="N858" s="646"/>
      <c r="O858" s="202"/>
      <c r="P858" s="223"/>
      <c r="Q858" s="224"/>
      <c r="R858" s="182"/>
      <c r="S858" s="185"/>
      <c r="T858" s="695" t="s">
        <v>153</v>
      </c>
      <c r="U858" s="696"/>
    </row>
    <row r="859" spans="1:21" ht="41.25" customHeight="1" thickTop="1">
      <c r="A859" s="568"/>
      <c r="B859" s="208"/>
      <c r="C859" s="208"/>
      <c r="D859" s="208"/>
      <c r="E859" s="203">
        <f>ROUND((E857*E858),2)</f>
        <v>0</v>
      </c>
      <c r="F859" s="225"/>
      <c r="G859" s="226"/>
      <c r="H859" s="653" t="s">
        <v>309</v>
      </c>
      <c r="I859" s="655" t="s">
        <v>154</v>
      </c>
      <c r="J859" s="657" t="s">
        <v>155</v>
      </c>
      <c r="K859" s="660" t="s">
        <v>156</v>
      </c>
      <c r="L859" s="661" t="s">
        <v>157</v>
      </c>
      <c r="M859" s="661"/>
      <c r="N859" s="661"/>
      <c r="O859" s="662"/>
      <c r="P859" s="663" t="s">
        <v>158</v>
      </c>
      <c r="Q859" s="227" t="s">
        <v>159</v>
      </c>
      <c r="R859" s="228" t="s">
        <v>160</v>
      </c>
      <c r="S859" s="229" t="s">
        <v>161</v>
      </c>
      <c r="T859" s="695" t="s">
        <v>162</v>
      </c>
      <c r="U859" s="696"/>
    </row>
    <row r="860" spans="1:21" ht="92.25" customHeight="1">
      <c r="A860" s="568"/>
      <c r="B860" s="664" t="s">
        <v>163</v>
      </c>
      <c r="C860" s="117" t="s">
        <v>164</v>
      </c>
      <c r="D860" s="337" t="s">
        <v>165</v>
      </c>
      <c r="E860" s="146" t="s">
        <v>166</v>
      </c>
      <c r="F860" s="697" t="s">
        <v>167</v>
      </c>
      <c r="G860" s="191" t="s">
        <v>168</v>
      </c>
      <c r="H860" s="654"/>
      <c r="I860" s="656"/>
      <c r="J860" s="658"/>
      <c r="K860" s="584"/>
      <c r="L860" s="232" t="s">
        <v>169</v>
      </c>
      <c r="M860" s="123" t="s">
        <v>170</v>
      </c>
      <c r="N860" s="136" t="s">
        <v>171</v>
      </c>
      <c r="O860" s="136" t="s">
        <v>172</v>
      </c>
      <c r="P860" s="556"/>
      <c r="Q860" s="233">
        <f>ROUND(IF(S865&gt;$N$4,IF(S865&lt;=$O$4,7866.25+((S865-$N$4)*$O$3)),0)+IF(S865&gt;$O$4,20177.65+((S865-$O$4)*$P$3),0)+IF(S865&lt;=$N$4,IF(S865*E871&gt;0,S865*E871),0),0.1)</f>
        <v>0</v>
      </c>
      <c r="R860" s="234">
        <f>IF(L855&gt;0,ROUND((ROUND((L855),0.1)*E871),0.1),0)</f>
        <v>0</v>
      </c>
      <c r="S860" s="235">
        <f>IF(Q860+R860-D871&gt;=0,Q860+R860-D871,0)+IF(D871-Q860+R860&gt;0&lt;D871+0.001,Q860+R860-D871,0)</f>
        <v>0</v>
      </c>
      <c r="T860" s="695" t="s">
        <v>173</v>
      </c>
      <c r="U860" s="696"/>
    </row>
    <row r="861" spans="1:21" ht="36.75" customHeight="1">
      <c r="A861" s="568"/>
      <c r="B861" s="665"/>
      <c r="C861" s="230"/>
      <c r="D861" s="236"/>
      <c r="E861" s="237"/>
      <c r="F861" s="698"/>
      <c r="G861" s="239" t="s">
        <v>310</v>
      </c>
      <c r="H861" s="654"/>
      <c r="I861" s="656"/>
      <c r="J861" s="658"/>
      <c r="K861" s="584"/>
      <c r="L861" s="123"/>
      <c r="M861" s="240"/>
      <c r="N861" s="241"/>
      <c r="O861" s="136"/>
      <c r="P861" s="556"/>
      <c r="Q861" s="668" t="s">
        <v>174</v>
      </c>
      <c r="R861" s="669"/>
      <c r="S861" s="235">
        <f>ROUND(IF(S860&gt;=L871,S860-L871,0),0.1)</f>
        <v>0</v>
      </c>
      <c r="T861" s="338" t="str">
        <f>L$8</f>
        <v>styczeń</v>
      </c>
      <c r="U861" s="339" t="str">
        <f>N$8</f>
        <v>2011 r.</v>
      </c>
    </row>
    <row r="862" spans="1:21" ht="48" customHeight="1">
      <c r="A862" s="568"/>
      <c r="B862" s="244">
        <f>IF(B863=0,IF(T843&gt;0,IF(T848&gt;0,IF(T848="I kl",O$1)+IF(T848="II kl",P$1)+IF(T848="III kl",Q$1),ROUND((E$1*B871),2)),0),0)</f>
        <v>0</v>
      </c>
      <c r="C862" s="118" t="s">
        <v>175</v>
      </c>
      <c r="D862" s="123" t="s">
        <v>176</v>
      </c>
      <c r="E862" s="245"/>
      <c r="F862" s="698"/>
      <c r="G862" s="139"/>
      <c r="H862" s="246">
        <f>IF(H863&gt;0,1,0)</f>
        <v>0</v>
      </c>
      <c r="I862" s="247">
        <f>IF(I863&gt;0,1,0)</f>
        <v>0</v>
      </c>
      <c r="J862" s="658"/>
      <c r="K862" s="248">
        <f aca="true" t="shared" si="80" ref="K862:P862">IF(K863&gt;0,1,0)</f>
        <v>0</v>
      </c>
      <c r="L862" s="249">
        <f t="shared" si="80"/>
        <v>0</v>
      </c>
      <c r="M862" s="250">
        <f t="shared" si="80"/>
        <v>0</v>
      </c>
      <c r="N862" s="249">
        <f t="shared" si="80"/>
        <v>0</v>
      </c>
      <c r="O862" s="251">
        <f t="shared" si="80"/>
        <v>0</v>
      </c>
      <c r="P862" s="252">
        <f t="shared" si="80"/>
        <v>0</v>
      </c>
      <c r="Q862" s="670" t="s">
        <v>177</v>
      </c>
      <c r="R862" s="253" t="s">
        <v>178</v>
      </c>
      <c r="S862" s="235">
        <v>0</v>
      </c>
      <c r="T862" s="647" t="s">
        <v>179</v>
      </c>
      <c r="U862" s="648"/>
    </row>
    <row r="863" spans="1:21" ht="57.75" customHeight="1" thickBot="1">
      <c r="A863" s="568"/>
      <c r="B863" s="254"/>
      <c r="C863" s="230"/>
      <c r="D863" s="177">
        <v>0.9</v>
      </c>
      <c r="E863" s="255">
        <f>IF(E861&gt;0,$U$1-E862,0)</f>
        <v>0</v>
      </c>
      <c r="F863" s="238">
        <f>IF(F864&gt;0,1,0)</f>
        <v>0</v>
      </c>
      <c r="G863" s="256" t="s">
        <v>180</v>
      </c>
      <c r="H863" s="257">
        <f>P842+L855-P871</f>
        <v>0</v>
      </c>
      <c r="I863" s="233">
        <f>L842+K854</f>
        <v>0</v>
      </c>
      <c r="J863" s="659"/>
      <c r="K863" s="244">
        <f>S847+K853+L853+O853+R853+O866+L869-N863</f>
        <v>0</v>
      </c>
      <c r="L863" s="244"/>
      <c r="M863" s="244">
        <f>G852+IF(G854&gt;0,G854,0)</f>
        <v>0</v>
      </c>
      <c r="N863" s="244">
        <f>L869-L871</f>
        <v>0</v>
      </c>
      <c r="O863" s="244"/>
      <c r="P863" s="258">
        <f>SUM(K863:O863)</f>
        <v>0</v>
      </c>
      <c r="Q863" s="671"/>
      <c r="R863" s="259" t="s">
        <v>181</v>
      </c>
      <c r="S863" s="235">
        <v>0</v>
      </c>
      <c r="T863" s="647" t="s">
        <v>182</v>
      </c>
      <c r="U863" s="648"/>
    </row>
    <row r="864" spans="1:21" ht="45.75" customHeight="1" thickBot="1" thickTop="1">
      <c r="A864" s="569"/>
      <c r="B864" s="244">
        <f>IF(B863=0,ROUND(IF(B862&gt;0,CEILING((B862/G846),0.01),B863),2),B863)</f>
        <v>0</v>
      </c>
      <c r="C864" s="244">
        <f>IF(T843&gt;0,(IF(C861&gt;0,ROUND(((C861-(C861*(B867+C867+D867)))/30),2),0)+IF(C863&gt;0,ROUND((C863/30),2),0))+(IF(IF(C861&gt;0,ROUND(((C861-(C861*(B867+C867+D867)))/30),2),0)+IF(C863&gt;0,ROUND((C863/30),2),0)&lt;ROUND((($F$1*B871)/30),2),(IF(C861+C863&gt;0,ROUND((($F$1*B871)/30),2)-(IF(C861&gt;0,ROUND(((C861-(C861*(B867+C867+D867)))/30),2),0)+IF(C863&gt;0,ROUND((C863/30),2),0)))),0)),0)</f>
        <v>0</v>
      </c>
      <c r="D864" s="244"/>
      <c r="E864" s="244">
        <f>IF(E863&gt;0,IF(ROUND(E861-((E861/30)*E862),2)-H866+O866&gt;0,ROUND(E861-((E861/30)*E862),2)-H866+O866,0),0)</f>
        <v>0</v>
      </c>
      <c r="F864" s="137"/>
      <c r="G864" s="139"/>
      <c r="H864" s="672" t="s">
        <v>183</v>
      </c>
      <c r="I864" s="673"/>
      <c r="J864" s="673"/>
      <c r="K864" s="673"/>
      <c r="L864" s="673"/>
      <c r="M864" s="674" t="s">
        <v>184</v>
      </c>
      <c r="N864" s="675"/>
      <c r="O864" s="260" t="s">
        <v>185</v>
      </c>
      <c r="P864" s="261" t="s">
        <v>186</v>
      </c>
      <c r="Q864" s="676" t="s">
        <v>187</v>
      </c>
      <c r="R864" s="677"/>
      <c r="S864" s="262">
        <f>ROUND((IF(S861-S862&gt;=0,S861-S862,0)+S863),0.1)</f>
        <v>0</v>
      </c>
      <c r="T864" s="263" t="str">
        <f>L$8</f>
        <v>styczeń</v>
      </c>
      <c r="U864" s="264" t="str">
        <f>N$8</f>
        <v>2011 r.</v>
      </c>
    </row>
    <row r="865" spans="1:21" ht="69.75" customHeight="1" thickBot="1" thickTop="1">
      <c r="A865" s="568"/>
      <c r="B865" s="699" t="s">
        <v>188</v>
      </c>
      <c r="C865" s="700"/>
      <c r="D865" s="700"/>
      <c r="E865" s="701"/>
      <c r="F865" s="265" t="s">
        <v>189</v>
      </c>
      <c r="G865" s="266" t="s">
        <v>190</v>
      </c>
      <c r="H865" s="267" t="s">
        <v>191</v>
      </c>
      <c r="I865" s="268" t="s">
        <v>192</v>
      </c>
      <c r="J865" s="269" t="s">
        <v>193</v>
      </c>
      <c r="K865" s="238" t="s">
        <v>194</v>
      </c>
      <c r="L865" s="270" t="s">
        <v>195</v>
      </c>
      <c r="M865" s="198" t="s">
        <v>196</v>
      </c>
      <c r="N865" s="271" t="s">
        <v>197</v>
      </c>
      <c r="O865" s="294" t="s">
        <v>198</v>
      </c>
      <c r="P865" s="273" t="s">
        <v>199</v>
      </c>
      <c r="Q865" s="340" t="s">
        <v>200</v>
      </c>
      <c r="R865" s="275" t="s">
        <v>201</v>
      </c>
      <c r="S865" s="276">
        <f>IF(ROUND((P842-P871-C871),0.1)&gt;0,ROUND((P842-P871-C871),0.1),0)</f>
        <v>0</v>
      </c>
      <c r="T865" s="277"/>
      <c r="U865" s="278"/>
    </row>
    <row r="866" spans="1:21" ht="81" customHeight="1" thickTop="1">
      <c r="A866" s="568"/>
      <c r="B866" s="279" t="s">
        <v>202</v>
      </c>
      <c r="C866" s="279" t="s">
        <v>203</v>
      </c>
      <c r="D866" s="279" t="s">
        <v>204</v>
      </c>
      <c r="E866" s="279" t="s">
        <v>205</v>
      </c>
      <c r="F866" s="279" t="s">
        <v>206</v>
      </c>
      <c r="G866" s="280">
        <f>ROUND((H866*G868),2)</f>
        <v>0</v>
      </c>
      <c r="H866" s="281">
        <f>Q843+O853</f>
        <v>0</v>
      </c>
      <c r="I866" s="282">
        <f>Q843+O853</f>
        <v>0</v>
      </c>
      <c r="J866" s="282">
        <f>Q843+O853</f>
        <v>0</v>
      </c>
      <c r="K866" s="282">
        <f>Q843+O853</f>
        <v>0</v>
      </c>
      <c r="L866" s="283">
        <f>Q843+H853+I853-O866+O853</f>
        <v>0</v>
      </c>
      <c r="M866" s="284">
        <f>IF(D861&gt;0,IF(D861&lt;$U$1,ROUND((($E$1/$U$1)*D861),2),$E$1))+IF(K858&gt;0,K858,0)</f>
        <v>0</v>
      </c>
      <c r="N866" s="285">
        <f>M866</f>
        <v>0</v>
      </c>
      <c r="O866" s="286">
        <f>SUM(H869:J869)</f>
        <v>0</v>
      </c>
      <c r="P866" s="287">
        <f>IF(P867&gt;0,1,0)</f>
        <v>0</v>
      </c>
      <c r="Q866" s="288">
        <f>ROUND((H866-O853-P871+H853+I853)*$R$3,2)</f>
        <v>0</v>
      </c>
      <c r="R866" s="681" t="s">
        <v>207</v>
      </c>
      <c r="S866" s="683" t="s">
        <v>311</v>
      </c>
      <c r="T866" s="289"/>
      <c r="U866" s="278"/>
    </row>
    <row r="867" spans="1:21" ht="38.25" customHeight="1">
      <c r="A867" s="568"/>
      <c r="B867" s="158">
        <f>IF(H866&gt;0,B$2,0)</f>
        <v>0</v>
      </c>
      <c r="C867" s="158">
        <f>IF(I866&gt;0,H$4,0)</f>
        <v>0</v>
      </c>
      <c r="D867" s="158">
        <f>IF(J866&gt;0,F$2,0)</f>
        <v>0</v>
      </c>
      <c r="E867" s="158" t="s">
        <v>208</v>
      </c>
      <c r="F867" s="290" t="s">
        <v>209</v>
      </c>
      <c r="G867" s="291">
        <v>0</v>
      </c>
      <c r="H867" s="685" t="s">
        <v>210</v>
      </c>
      <c r="I867" s="686"/>
      <c r="J867" s="686"/>
      <c r="K867" s="686"/>
      <c r="L867" s="686"/>
      <c r="M867" s="292" t="s">
        <v>211</v>
      </c>
      <c r="N867" s="293" t="s">
        <v>212</v>
      </c>
      <c r="O867" s="294" t="s">
        <v>213</v>
      </c>
      <c r="P867" s="52">
        <f>IF(I866&lt;$E$1,IF(B871=1,IF(T848=0,ROUND((I866*$L$2),2),0),0),ROUND((I866*$L$2),2))</f>
        <v>0</v>
      </c>
      <c r="Q867" s="295" t="s">
        <v>214</v>
      </c>
      <c r="R867" s="682"/>
      <c r="S867" s="684"/>
      <c r="T867" s="289"/>
      <c r="U867" s="278"/>
    </row>
    <row r="868" spans="1:21" ht="42.75" customHeight="1" thickBot="1">
      <c r="A868" s="568"/>
      <c r="B868" s="158">
        <f>IF(H866&gt;0,B$2,0)</f>
        <v>0</v>
      </c>
      <c r="C868" s="158">
        <f>IF(I866&gt;0,D$2,0)</f>
        <v>0</v>
      </c>
      <c r="D868" s="158" t="s">
        <v>208</v>
      </c>
      <c r="E868" s="158">
        <f>IF(K866&gt;0,H$2,0)</f>
        <v>0</v>
      </c>
      <c r="F868" s="158">
        <f>IF(L866&gt;0,J$2,0)</f>
        <v>0</v>
      </c>
      <c r="G868" s="158">
        <f>IF(G867&gt;0,L$1,0)</f>
        <v>0</v>
      </c>
      <c r="H868" s="296" t="s">
        <v>215</v>
      </c>
      <c r="I868" s="297" t="s">
        <v>215</v>
      </c>
      <c r="J868" s="297" t="s">
        <v>215</v>
      </c>
      <c r="K868" s="298" t="s">
        <v>209</v>
      </c>
      <c r="L868" s="299" t="s">
        <v>215</v>
      </c>
      <c r="M868" s="300">
        <f>ROUND(M866*(B$2+B$2),2)</f>
        <v>0</v>
      </c>
      <c r="N868" s="301">
        <f>ROUND(N866*(D$2+H$4),2)</f>
        <v>0</v>
      </c>
      <c r="O868" s="302">
        <f>H871+I871+K871+G866</f>
        <v>0</v>
      </c>
      <c r="P868" s="303" t="s">
        <v>216</v>
      </c>
      <c r="Q868" s="304">
        <f>ROUND((L866*J$2),2)</f>
        <v>0</v>
      </c>
      <c r="R868" s="305" t="s">
        <v>217</v>
      </c>
      <c r="S868" s="684"/>
      <c r="T868" s="289"/>
      <c r="U868" s="278"/>
    </row>
    <row r="869" spans="1:21" ht="53.25" customHeight="1" thickBot="1" thickTop="1">
      <c r="A869" s="568"/>
      <c r="B869" s="141">
        <f>IF(B867+B868&gt;0,1,0)</f>
        <v>0</v>
      </c>
      <c r="C869" s="141">
        <f>IF(C867+C868&gt;0,1,0)</f>
        <v>0</v>
      </c>
      <c r="D869" s="141">
        <f>IF(D867&gt;0,1,0)</f>
        <v>0</v>
      </c>
      <c r="E869" s="141">
        <f>IF(E868&gt;0,1,0)</f>
        <v>0</v>
      </c>
      <c r="F869" s="141">
        <f>IF(F868&gt;0,1,0)</f>
        <v>0</v>
      </c>
      <c r="G869" s="141">
        <f>IF(G868&gt;0,1,0)</f>
        <v>0</v>
      </c>
      <c r="H869" s="306">
        <f>ROUND(H866*B867,2)</f>
        <v>0</v>
      </c>
      <c r="I869" s="307">
        <f>ROUND(I866*C867,2)</f>
        <v>0</v>
      </c>
      <c r="J869" s="307">
        <f>ROUND(J866*D867,2)</f>
        <v>0</v>
      </c>
      <c r="K869" s="244" t="s">
        <v>209</v>
      </c>
      <c r="L869" s="307">
        <f>IF(S860&gt;=ROUND(L866*F868,2),ROUND(L866*F868,2),S860)</f>
        <v>0</v>
      </c>
      <c r="M869" s="687" t="s">
        <v>218</v>
      </c>
      <c r="N869" s="688"/>
      <c r="O869" s="689" t="s">
        <v>219</v>
      </c>
      <c r="P869" s="308">
        <f>IF(P870&gt;0,1,0)</f>
        <v>0</v>
      </c>
      <c r="Q869" s="309" t="s">
        <v>220</v>
      </c>
      <c r="R869" s="310">
        <f>IF(B846=G846,H847+I847+J847+L847+O847+R847+IF(K847&gt;0,ROUND((K847/K845),2),0),0)+IF(B846&lt;G846,IF(B846&gt;0,ROUND((((H847+J847)/B846)*(G846-B859)),2)+IF(K847&gt;0,ROUND((K847/K845),2),0)+I847+L847+O847+R847,0),0)</f>
        <v>0</v>
      </c>
      <c r="S869" s="235">
        <f>IF(S861-S862&lt;0,S862-S861,0)</f>
        <v>0</v>
      </c>
      <c r="T869" s="289"/>
      <c r="U869" s="278"/>
    </row>
    <row r="870" spans="1:22" ht="63" customHeight="1" thickBot="1" thickTop="1">
      <c r="A870" s="568"/>
      <c r="B870" s="311" t="s">
        <v>221</v>
      </c>
      <c r="C870" s="311" t="s">
        <v>222</v>
      </c>
      <c r="D870" s="311" t="s">
        <v>34</v>
      </c>
      <c r="E870" s="146" t="s">
        <v>223</v>
      </c>
      <c r="F870" s="312" t="s">
        <v>224</v>
      </c>
      <c r="G870" s="139">
        <f>IF(Q866&gt;Q860,Q866-Q860,0)</f>
        <v>0</v>
      </c>
      <c r="H870" s="313" t="s">
        <v>225</v>
      </c>
      <c r="I870" s="314" t="s">
        <v>225</v>
      </c>
      <c r="J870" s="298" t="s">
        <v>209</v>
      </c>
      <c r="K870" s="315" t="s">
        <v>225</v>
      </c>
      <c r="L870" s="316" t="s">
        <v>226</v>
      </c>
      <c r="M870" s="317" t="s">
        <v>227</v>
      </c>
      <c r="N870" s="318" t="s">
        <v>228</v>
      </c>
      <c r="O870" s="690"/>
      <c r="P870" s="319">
        <f>ROUND(N$2*H866,2)</f>
        <v>0</v>
      </c>
      <c r="Q870" s="320">
        <f>IF(D861&gt;0,$U$2,0)</f>
        <v>0</v>
      </c>
      <c r="R870" s="321" t="s">
        <v>229</v>
      </c>
      <c r="S870" s="322" t="s">
        <v>230</v>
      </c>
      <c r="T870" s="691" t="s">
        <v>231</v>
      </c>
      <c r="U870" s="702"/>
      <c r="V870" s="323">
        <f>IF(ISBLANK(AM842),0,IF(IF(AF857&gt;=AI$2,AI$2,AF857)&gt;0,IF(AF857&gt;=AI$2,AI$2,AF857),0))</f>
        <v>0</v>
      </c>
    </row>
    <row r="871" spans="1:22" ht="42" customHeight="1" thickBot="1" thickTop="1">
      <c r="A871" s="570"/>
      <c r="B871" s="324">
        <f>IF(ISBLANK(T843),0,1)</f>
        <v>0</v>
      </c>
      <c r="C871" s="324">
        <f>IF(ISBLANK(T843),0,IF(IF(M858&gt;=P$2,P$2,M858)&gt;0,IF(M858&gt;=P$2,P$2,M858),0))</f>
        <v>0</v>
      </c>
      <c r="D871" s="324">
        <f>IF(ISBLANK(T843),0,S$1)</f>
        <v>0</v>
      </c>
      <c r="E871" s="325">
        <f>IF(G846&gt;0,$N$3,0)</f>
        <v>0</v>
      </c>
      <c r="F871" s="326">
        <f>O866+O868+P867+P870+L869+S864</f>
        <v>0</v>
      </c>
      <c r="G871" s="327">
        <f>IF(G870&gt;0,1,0)</f>
        <v>0</v>
      </c>
      <c r="H871" s="328">
        <f>ROUND(H866*B867,2)</f>
        <v>0</v>
      </c>
      <c r="I871" s="329">
        <f>ROUND(I866*C868,2)</f>
        <v>0</v>
      </c>
      <c r="J871" s="182" t="s">
        <v>209</v>
      </c>
      <c r="K871" s="330">
        <f>ROUND(K866*E868,2)</f>
        <v>0</v>
      </c>
      <c r="L871" s="185">
        <f>IF(S860&gt;=ROUND((H866-O853-P871+H853+I853)*$R$3,2),ROUND((H866-O853-P871+H853+I853)*$R$3,2),S860)</f>
        <v>0</v>
      </c>
      <c r="M871" s="179">
        <f>O866+O868</f>
        <v>0</v>
      </c>
      <c r="N871" s="331">
        <f>M871+L869</f>
        <v>0</v>
      </c>
      <c r="O871" s="332">
        <f>SUM(M868:N868)</f>
        <v>0</v>
      </c>
      <c r="P871" s="333">
        <f>ROUND(Q843*B867,2)+ROUND(Q843*C867,2)+ROUND(Q843*D867,2)</f>
        <v>0</v>
      </c>
      <c r="Q871" s="334">
        <f>IF(D861&gt;0,ROUND(($U$2*J$2),2),0)</f>
        <v>0</v>
      </c>
      <c r="R871" s="335">
        <f>IF(B846&gt;=G846/2,IF(B846=G846,H847+I847+J847+L847+O847+P847+R847+IF(K847&gt;0,ROUND((K847/K845),2),0),ROUND((((H847+J847+L847)/B846)*(G846-B859)),2)+IF(K847&gt;0,ROUND((K847/K845),2),0)+I847+O847+P847+R847),0)</f>
        <v>0</v>
      </c>
      <c r="S871" s="336">
        <f>IF(P842-O866-S864-L869&gt;0,P842-O866-S864-L869,0)</f>
        <v>0</v>
      </c>
      <c r="T871" s="693" t="s">
        <v>232</v>
      </c>
      <c r="U871" s="703"/>
      <c r="V871" s="323">
        <f>IF(ISBLANK(AM843),0,IF(IF(AF858&gt;=AJ$2,AJ$2,AF858)&gt;0,IF(AF858&gt;=AJ$2,AJ$2,AF858),0))</f>
        <v>0</v>
      </c>
    </row>
    <row r="872" ht="24" customHeight="1" thickTop="1"/>
    <row r="873" spans="1:23" ht="33" customHeight="1" thickBot="1">
      <c r="A873" s="111" t="s">
        <v>72</v>
      </c>
      <c r="B873" s="112" t="s">
        <v>73</v>
      </c>
      <c r="C873" s="113"/>
      <c r="D873" s="113"/>
      <c r="E873" s="114"/>
      <c r="F873" s="553" t="s">
        <v>74</v>
      </c>
      <c r="G873" s="555" t="s">
        <v>75</v>
      </c>
      <c r="H873" s="557" t="s">
        <v>76</v>
      </c>
      <c r="I873" s="557"/>
      <c r="J873" s="558"/>
      <c r="K873" s="559"/>
      <c r="L873" s="560"/>
      <c r="M873" s="560"/>
      <c r="N873" s="560"/>
      <c r="O873" s="561"/>
      <c r="P873" s="559"/>
      <c r="Q873" s="560"/>
      <c r="R873" s="560"/>
      <c r="S873" s="560"/>
      <c r="T873" s="565" t="s">
        <v>77</v>
      </c>
      <c r="U873" s="566"/>
      <c r="V873" s="102"/>
      <c r="W873" s="115"/>
    </row>
    <row r="874" spans="1:23" ht="44.25" customHeight="1" thickBot="1" thickTop="1">
      <c r="A874" s="567">
        <f>A842+1</f>
        <v>28</v>
      </c>
      <c r="B874" s="571" t="s">
        <v>79</v>
      </c>
      <c r="C874" s="571" t="s">
        <v>80</v>
      </c>
      <c r="D874" s="573" t="s">
        <v>81</v>
      </c>
      <c r="E874" s="573"/>
      <c r="F874" s="554"/>
      <c r="G874" s="556"/>
      <c r="H874" s="574" t="s">
        <v>82</v>
      </c>
      <c r="I874" s="574"/>
      <c r="J874" s="574"/>
      <c r="K874" s="574"/>
      <c r="L874" s="575">
        <f>P874+S880</f>
        <v>0</v>
      </c>
      <c r="M874" s="576"/>
      <c r="N874" s="577" t="s">
        <v>83</v>
      </c>
      <c r="O874" s="578"/>
      <c r="P874" s="575">
        <f>Q875+M880</f>
        <v>0</v>
      </c>
      <c r="Q874" s="576"/>
      <c r="R874" s="119"/>
      <c r="S874" s="120"/>
      <c r="T874" s="121"/>
      <c r="U874" s="122"/>
      <c r="V874" s="102"/>
      <c r="W874" s="115"/>
    </row>
    <row r="875" spans="1:23" ht="36.75" customHeight="1">
      <c r="A875" s="568"/>
      <c r="B875" s="572"/>
      <c r="C875" s="572"/>
      <c r="D875" s="124" t="s">
        <v>85</v>
      </c>
      <c r="E875" s="124" t="s">
        <v>86</v>
      </c>
      <c r="F875" s="554"/>
      <c r="G875" s="556"/>
      <c r="H875" s="562" t="s">
        <v>87</v>
      </c>
      <c r="I875" s="563"/>
      <c r="J875" s="563"/>
      <c r="K875" s="563"/>
      <c r="L875" s="563"/>
      <c r="M875" s="563"/>
      <c r="N875" s="563"/>
      <c r="O875" s="563"/>
      <c r="P875" s="564"/>
      <c r="Q875" s="579">
        <f>SUM(H879:S879)</f>
        <v>0</v>
      </c>
      <c r="R875" s="580"/>
      <c r="S875" s="125"/>
      <c r="T875" s="581"/>
      <c r="U875" s="582"/>
      <c r="V875" s="102"/>
      <c r="W875" s="115"/>
    </row>
    <row r="876" spans="1:23" ht="38.25" customHeight="1">
      <c r="A876" s="568"/>
      <c r="B876" s="572"/>
      <c r="C876" s="126"/>
      <c r="D876" s="124" t="s">
        <v>89</v>
      </c>
      <c r="E876" s="124" t="s">
        <v>89</v>
      </c>
      <c r="F876" s="554"/>
      <c r="G876" s="127"/>
      <c r="H876" s="128" t="s">
        <v>90</v>
      </c>
      <c r="I876" s="129" t="s">
        <v>91</v>
      </c>
      <c r="J876" s="129" t="s">
        <v>92</v>
      </c>
      <c r="K876" s="130" t="s">
        <v>93</v>
      </c>
      <c r="L876" s="583" t="s">
        <v>94</v>
      </c>
      <c r="M876" s="583" t="s">
        <v>95</v>
      </c>
      <c r="N876" s="583" t="s">
        <v>96</v>
      </c>
      <c r="O876" s="585" t="s">
        <v>97</v>
      </c>
      <c r="P876" s="583" t="s">
        <v>98</v>
      </c>
      <c r="Q876" s="587" t="s">
        <v>99</v>
      </c>
      <c r="R876" s="589" t="s">
        <v>100</v>
      </c>
      <c r="S876" s="591" t="s">
        <v>101</v>
      </c>
      <c r="T876" s="581"/>
      <c r="U876" s="582"/>
      <c r="V876" s="102"/>
      <c r="W876" s="115"/>
    </row>
    <row r="877" spans="1:23" ht="30" customHeight="1">
      <c r="A877" s="568"/>
      <c r="B877" s="572"/>
      <c r="C877" s="131"/>
      <c r="D877" s="131"/>
      <c r="E877" s="131"/>
      <c r="F877" s="554"/>
      <c r="G877" s="127"/>
      <c r="H877" s="132" t="s">
        <v>103</v>
      </c>
      <c r="I877" s="133" t="s">
        <v>104</v>
      </c>
      <c r="J877" s="134">
        <v>0</v>
      </c>
      <c r="K877" s="135">
        <v>1</v>
      </c>
      <c r="L877" s="584"/>
      <c r="M877" s="584"/>
      <c r="N877" s="584"/>
      <c r="O877" s="586"/>
      <c r="P877" s="584"/>
      <c r="Q877" s="588"/>
      <c r="R877" s="590"/>
      <c r="S877" s="592"/>
      <c r="T877" s="581"/>
      <c r="U877" s="582"/>
      <c r="V877" s="102"/>
      <c r="W877" s="115"/>
    </row>
    <row r="878" spans="1:21" ht="51" customHeight="1">
      <c r="A878" s="568"/>
      <c r="B878" s="137">
        <f>G878</f>
        <v>0</v>
      </c>
      <c r="C878" s="137"/>
      <c r="D878" s="137"/>
      <c r="E878" s="138"/>
      <c r="F878" s="138"/>
      <c r="G878" s="139">
        <f>B$1*B903</f>
        <v>0</v>
      </c>
      <c r="H878" s="140">
        <f aca="true" t="shared" si="81" ref="H878:S878">IF(H879&gt;0,1,0)</f>
        <v>0</v>
      </c>
      <c r="I878" s="141">
        <f t="shared" si="81"/>
        <v>0</v>
      </c>
      <c r="J878" s="141">
        <f t="shared" si="81"/>
        <v>0</v>
      </c>
      <c r="K878" s="142">
        <f t="shared" si="81"/>
        <v>0</v>
      </c>
      <c r="L878" s="142">
        <f t="shared" si="81"/>
        <v>0</v>
      </c>
      <c r="M878" s="142">
        <f t="shared" si="81"/>
        <v>0</v>
      </c>
      <c r="N878" s="142">
        <f t="shared" si="81"/>
        <v>0</v>
      </c>
      <c r="O878" s="141">
        <f t="shared" si="81"/>
        <v>0</v>
      </c>
      <c r="P878" s="142">
        <f t="shared" si="81"/>
        <v>0</v>
      </c>
      <c r="Q878" s="142">
        <f t="shared" si="81"/>
        <v>0</v>
      </c>
      <c r="R878" s="143">
        <f t="shared" si="81"/>
        <v>0</v>
      </c>
      <c r="S878" s="144">
        <f t="shared" si="81"/>
        <v>0</v>
      </c>
      <c r="T878" s="593"/>
      <c r="U878" s="594"/>
    </row>
    <row r="879" spans="1:22" ht="49.5" customHeight="1" thickBot="1">
      <c r="A879" s="568"/>
      <c r="B879" s="595" t="s">
        <v>106</v>
      </c>
      <c r="C879" s="595" t="s">
        <v>107</v>
      </c>
      <c r="D879" s="596" t="s">
        <v>108</v>
      </c>
      <c r="E879" s="148" t="s">
        <v>109</v>
      </c>
      <c r="F879" s="149"/>
      <c r="G879" s="597" t="s">
        <v>110</v>
      </c>
      <c r="H879" s="150">
        <f>IF(B878+B882+B889+B891+C888+D882+F879&gt;0,IF(B894&gt;0,B894-(IF(E882+F882+G882+B886+C886+D886+E886+F886&gt;0,ROUND((B894/30)*IF(E882+F882+G882+B886+C886+D886+E886+F886&lt;31,E882+F882+G882+B886+C886+D886+E886+F886,30),2),0)+ROUND(((B894/G878)*(B882+B889+B891+C888+D882)),2)),0),0)+IF(B878&gt;G878,IF(B894&gt;0,(B878-G878)*B896,0),0)+IF(B895&gt;0,B895*B878,0)-IF(IF(B878+B882+B889+B891+C888+D882+F879&gt;0,IF(B894&gt;0,B894-(IF(E882+F882+G882+B886+C886+D886+E886+F886&gt;0,ROUND((B894/30)*IF(E882+F882+G882+B886+C886+D886+E886+F886&lt;31,E882+F882+G882+B886+C886+D886+E886+F886,30),2),0)+ROUND(((B894/G878)*(B882+B889+B891+C888+D882)),2)),0),0)&lt;0,IF(B878+B882+B889+B891+C888+D882+F879&gt;0,IF(B894&gt;0,B894-(IF(E882+F882+G882+B886+C886+D886+E886+F886&gt;0,ROUND((B894/30)*IF(E882+F882+G882+B886+C886+D886+E886+F886&lt;31,E882+F882+G882+B886+C886+D886+E886+F886,30),2),0)+ROUND(((B894/G878)*(B882+B889+B891+C888+D882)),2)),0),0),0)</f>
        <v>0</v>
      </c>
      <c r="I879" s="151">
        <f>ROUND(D878*ROUND(B896*150%,2)+E878*ROUND(B896*200%,2),2)</f>
        <v>0</v>
      </c>
      <c r="J879" s="151">
        <f>ROUND((J877*H879),2)</f>
        <v>0</v>
      </c>
      <c r="K879" s="151"/>
      <c r="L879" s="151">
        <f>IF(C878&gt;0,C878*ROUND(B896*U$3,2),0)+IF(U$3=0,IF(C878&gt;0,C878*ROUND(20%*ROUND(E$1/G878,2),2),0))</f>
        <v>0</v>
      </c>
      <c r="M879" s="151">
        <f>IF(B882&gt;0,ROUND((B882*C891),2),0)</f>
        <v>0</v>
      </c>
      <c r="N879" s="151">
        <f>IF(B878+D878+E878+F878&gt;0,ROUND((((H879+I879+J879+L879+O879)/(B878+D878+E878+F878))*D882),2),B896*D882)</f>
        <v>0</v>
      </c>
      <c r="O879" s="151">
        <f>ROUND((F878*B896),2)</f>
        <v>0</v>
      </c>
      <c r="P879" s="151">
        <f>IF(C882&gt;0,ROUND((D891/($I$1*8*B903)),2)*C882,0)</f>
        <v>0</v>
      </c>
      <c r="Q879" s="151"/>
      <c r="R879" s="152"/>
      <c r="S879" s="153">
        <f>IF(G896&gt;500,G896-500,0)+IF(F896&gt;190,F896-190,0)</f>
        <v>0</v>
      </c>
      <c r="T879" s="593"/>
      <c r="U879" s="594"/>
      <c r="V879" s="154"/>
    </row>
    <row r="880" spans="1:21" ht="57" customHeight="1">
      <c r="A880" s="568"/>
      <c r="B880" s="554"/>
      <c r="C880" s="554"/>
      <c r="D880" s="554"/>
      <c r="E880" s="599" t="s">
        <v>112</v>
      </c>
      <c r="F880" s="599"/>
      <c r="G880" s="598"/>
      <c r="H880" s="600" t="s">
        <v>113</v>
      </c>
      <c r="I880" s="601"/>
      <c r="J880" s="601"/>
      <c r="K880" s="601"/>
      <c r="L880" s="601"/>
      <c r="M880" s="602">
        <f>H885+I885+M881</f>
        <v>0</v>
      </c>
      <c r="N880" s="603"/>
      <c r="O880" s="604" t="s">
        <v>114</v>
      </c>
      <c r="P880" s="604"/>
      <c r="Q880" s="604"/>
      <c r="R880" s="604"/>
      <c r="S880" s="156">
        <f>S881+O885</f>
        <v>0</v>
      </c>
      <c r="T880" s="605"/>
      <c r="U880" s="606"/>
    </row>
    <row r="881" spans="1:21" ht="38.25" customHeight="1">
      <c r="A881" s="568"/>
      <c r="B881" s="157"/>
      <c r="C881" s="131"/>
      <c r="D881" s="131"/>
      <c r="E881" s="158">
        <v>0.8</v>
      </c>
      <c r="F881" s="158">
        <v>1</v>
      </c>
      <c r="G881" s="159">
        <v>0.8</v>
      </c>
      <c r="H881" s="607" t="s">
        <v>115</v>
      </c>
      <c r="I881" s="608"/>
      <c r="J881" s="609" t="s">
        <v>116</v>
      </c>
      <c r="K881" s="610"/>
      <c r="L881" s="610"/>
      <c r="M881" s="611">
        <f>SUM(J885:N885)</f>
        <v>0</v>
      </c>
      <c r="N881" s="612"/>
      <c r="O881" s="160" t="s">
        <v>117</v>
      </c>
      <c r="P881" s="613" t="s">
        <v>118</v>
      </c>
      <c r="Q881" s="614"/>
      <c r="R881" s="615"/>
      <c r="S881" s="161">
        <f>SUM(P885:S885)</f>
        <v>0</v>
      </c>
      <c r="T881" s="616"/>
      <c r="U881" s="617"/>
    </row>
    <row r="882" spans="1:21" ht="40.5" customHeight="1">
      <c r="A882" s="568"/>
      <c r="B882" s="137"/>
      <c r="C882" s="137"/>
      <c r="D882" s="137"/>
      <c r="E882" s="137"/>
      <c r="F882" s="137"/>
      <c r="G882" s="139"/>
      <c r="H882" s="618" t="s">
        <v>119</v>
      </c>
      <c r="I882" s="162"/>
      <c r="J882" s="620" t="s">
        <v>120</v>
      </c>
      <c r="K882" s="595" t="s">
        <v>121</v>
      </c>
      <c r="L882" s="595" t="s">
        <v>122</v>
      </c>
      <c r="M882" s="595" t="s">
        <v>123</v>
      </c>
      <c r="N882" s="163" t="s">
        <v>124</v>
      </c>
      <c r="O882" s="622" t="s">
        <v>125</v>
      </c>
      <c r="P882" s="624" t="s">
        <v>126</v>
      </c>
      <c r="Q882" s="584" t="s">
        <v>127</v>
      </c>
      <c r="R882" s="634" t="s">
        <v>128</v>
      </c>
      <c r="S882" s="633" t="s">
        <v>129</v>
      </c>
      <c r="T882" s="164"/>
      <c r="U882" s="165"/>
    </row>
    <row r="883" spans="1:21" ht="39.75" customHeight="1">
      <c r="A883" s="568"/>
      <c r="B883" s="571" t="s">
        <v>110</v>
      </c>
      <c r="C883" s="571" t="s">
        <v>130</v>
      </c>
      <c r="D883" s="571" t="s">
        <v>131</v>
      </c>
      <c r="E883" s="571" t="s">
        <v>132</v>
      </c>
      <c r="F883" s="571" t="s">
        <v>110</v>
      </c>
      <c r="G883" s="166" t="s">
        <v>133</v>
      </c>
      <c r="H883" s="619"/>
      <c r="I883" s="167"/>
      <c r="J883" s="621"/>
      <c r="K883" s="554"/>
      <c r="L883" s="554"/>
      <c r="M883" s="554"/>
      <c r="N883" s="168" t="s">
        <v>134</v>
      </c>
      <c r="O883" s="623"/>
      <c r="P883" s="624"/>
      <c r="Q883" s="584"/>
      <c r="R883" s="634"/>
      <c r="S883" s="633"/>
      <c r="T883" s="627">
        <f>I895-S896-P895</f>
        <v>0</v>
      </c>
      <c r="U883" s="628"/>
    </row>
    <row r="884" spans="1:21" ht="35.25" customHeight="1">
      <c r="A884" s="568"/>
      <c r="B884" s="572"/>
      <c r="C884" s="572"/>
      <c r="D884" s="572"/>
      <c r="E884" s="572"/>
      <c r="F884" s="572"/>
      <c r="G884" s="139"/>
      <c r="H884" s="169">
        <f aca="true" t="shared" si="82" ref="H884:M884">IF(H885&gt;0,1,0)</f>
        <v>0</v>
      </c>
      <c r="I884" s="170">
        <f t="shared" si="82"/>
        <v>0</v>
      </c>
      <c r="J884" s="171">
        <f t="shared" si="82"/>
        <v>0</v>
      </c>
      <c r="K884" s="172">
        <f t="shared" si="82"/>
        <v>0</v>
      </c>
      <c r="L884" s="173">
        <f t="shared" si="82"/>
        <v>0</v>
      </c>
      <c r="M884" s="173">
        <f t="shared" si="82"/>
        <v>0</v>
      </c>
      <c r="N884" s="174">
        <v>0</v>
      </c>
      <c r="O884" s="175">
        <f>IF(O885&gt;0,1,0)</f>
        <v>0</v>
      </c>
      <c r="P884" s="171">
        <f>IF(P885&gt;0,1,0)</f>
        <v>0</v>
      </c>
      <c r="Q884" s="173">
        <f>IF(Q885&gt;0,1,0)</f>
        <v>0</v>
      </c>
      <c r="R884" s="173">
        <f>IF(R885&gt;0,1,0)</f>
        <v>0</v>
      </c>
      <c r="S884" s="176">
        <f>IF(S885&gt;0,1,0)</f>
        <v>0</v>
      </c>
      <c r="T884" s="627"/>
      <c r="U884" s="628"/>
    </row>
    <row r="885" spans="1:21" ht="36" customHeight="1" thickBot="1">
      <c r="A885" s="568"/>
      <c r="B885" s="177">
        <v>1</v>
      </c>
      <c r="C885" s="177">
        <v>0.8</v>
      </c>
      <c r="D885" s="572"/>
      <c r="E885" s="572"/>
      <c r="F885" s="177">
        <v>0.7</v>
      </c>
      <c r="G885" s="178">
        <v>0</v>
      </c>
      <c r="H885" s="179">
        <f>IF(E882&gt;0,ROUND((C896*E881),2)*E882,0)+IF(F882&gt;0,C896*F882,0)</f>
        <v>0</v>
      </c>
      <c r="I885" s="180"/>
      <c r="J885" s="181">
        <f>IF(G878&gt;0,IF(B878&gt;=G878,E891-((E891/22)*F891),(E891-(ROUND(((E891/22)*(((G878-B878)/8*B903)+F891)),2))))-IF(B878=0,0,0)-IF(B878&lt;=F891*8*B903,E891-ROUND(((E891/22)*(((G878-B878)/8*B903)+F891)),2),0),0)</f>
        <v>0</v>
      </c>
      <c r="K885" s="182">
        <f>G894-R885</f>
        <v>0</v>
      </c>
      <c r="L885" s="182">
        <f>IF(F896&gt;0,IF(F896&lt;190,F896,190),0)</f>
        <v>0</v>
      </c>
      <c r="M885" s="182"/>
      <c r="N885" s="183">
        <f>IF(N884&gt;0,L$3*B903*N884,0)</f>
        <v>0</v>
      </c>
      <c r="O885" s="184">
        <f>IF(C903&lt;=$P$2,IF(G896&gt;0,IF(G896&lt;500,G896,500),0),0)</f>
        <v>0</v>
      </c>
      <c r="P885" s="181">
        <f>IF(G891&gt;0,ROUND(((G891/G878)*B878),2),0)+G890</f>
        <v>0</v>
      </c>
      <c r="Q885" s="182">
        <f>IF(F889&gt;0,ROUND((F889/G878)*B878,2),0)</f>
        <v>0</v>
      </c>
      <c r="R885" s="182">
        <f>IF(G894&gt;0,IF(G894&lt;380,G894,380),0)</f>
        <v>0</v>
      </c>
      <c r="S885" s="185"/>
      <c r="T885" s="627"/>
      <c r="U885" s="628"/>
    </row>
    <row r="886" spans="1:21" ht="60" customHeight="1" thickBot="1" thickTop="1">
      <c r="A886" s="568"/>
      <c r="B886" s="137"/>
      <c r="C886" s="137"/>
      <c r="D886" s="137"/>
      <c r="E886" s="137"/>
      <c r="F886" s="137"/>
      <c r="G886" s="139">
        <f>IF(L874+L887-Q885-P885-K895-J885&gt;$F$1,IF(G885&gt;0,IF(((H895-S896-L901-L895-J885-K885-L885-O898+P903)*(100%-G885))&gt;=(($F$1*B903)-IF(ROUND(((ROUND(($F$1-C903),0.1)*E903)-D903),0.1)&gt;0,ROUND(((ROUND(($F$1-C903),0.1)*E903)-D903),0.1),0)),((H895-S896-L901-L895-J885-K885-L885-O898+P903)*G885)))+IF(G885&gt;0,IF(((H895-S896-L901-L895-J885-K885-L885-O898+P903)*(100%-G885))&lt;(($F$1*B903)-IF(ROUND(((ROUND(($F$1-C903),0.1)*E903)-D903),0.1)&gt;0,ROUND(((ROUND(($F$1-C903),0.1)*E903)-D903),0.1),0)),(H895-S896-L901-L895-J885-K885-L885-O898+P903)-(($F$1*B903)-IF(ROUND(((ROUND(($F$1-C903),0.1)*E903)-D903),0.1)&gt;0,ROUND(((ROUND(($F$1-C903),0.1)*E903)-D903),0.1),0)))),0)</f>
        <v>0</v>
      </c>
      <c r="H886" s="629" t="s">
        <v>135</v>
      </c>
      <c r="I886" s="630"/>
      <c r="J886" s="630"/>
      <c r="K886" s="575">
        <f>L887+P886</f>
        <v>0</v>
      </c>
      <c r="L886" s="576"/>
      <c r="M886" s="631" t="s">
        <v>136</v>
      </c>
      <c r="N886" s="632"/>
      <c r="O886" s="632"/>
      <c r="P886" s="575">
        <f>P887+S887</f>
        <v>0</v>
      </c>
      <c r="Q886" s="575"/>
      <c r="R886" s="186"/>
      <c r="S886" s="186"/>
      <c r="T886" s="187">
        <v>200</v>
      </c>
      <c r="U886" s="188">
        <f>ROUND(((1400/'[1]Li-pł zlec'!$V$1)*'[1]LI-PŁ-prac'!T886),2)+((H885+L887)-ROUND(((H885+L887)*$N$3),2))+O888+P888+P890+R890+S890-O895-L895-M895</f>
        <v>1750</v>
      </c>
    </row>
    <row r="887" spans="1:21" ht="119.25" customHeight="1">
      <c r="A887" s="568"/>
      <c r="B887" s="189" t="s">
        <v>137</v>
      </c>
      <c r="C887" s="190" t="s">
        <v>138</v>
      </c>
      <c r="D887" s="595" t="s">
        <v>139</v>
      </c>
      <c r="E887" s="649" t="s">
        <v>307</v>
      </c>
      <c r="F887" s="191" t="s">
        <v>140</v>
      </c>
      <c r="G887" s="192" t="s">
        <v>141</v>
      </c>
      <c r="H887" s="651" t="s">
        <v>142</v>
      </c>
      <c r="I887" s="652"/>
      <c r="J887" s="652"/>
      <c r="K887" s="652"/>
      <c r="L887" s="193">
        <f>SUM(H890:L890)</f>
        <v>0</v>
      </c>
      <c r="M887" s="625"/>
      <c r="N887" s="626"/>
      <c r="O887" s="626"/>
      <c r="P887" s="193"/>
      <c r="Q887" s="635"/>
      <c r="R887" s="636"/>
      <c r="S887" s="194"/>
      <c r="T887" s="637"/>
      <c r="U887" s="638"/>
    </row>
    <row r="888" spans="1:21" ht="141" customHeight="1" thickBot="1">
      <c r="A888" s="568"/>
      <c r="B888" s="195" t="s">
        <v>143</v>
      </c>
      <c r="C888" s="196"/>
      <c r="D888" s="554"/>
      <c r="E888" s="650"/>
      <c r="F888" s="197">
        <f>IF(F889&gt;0,1,0)</f>
        <v>0</v>
      </c>
      <c r="G888" s="155" t="s">
        <v>308</v>
      </c>
      <c r="H888" s="198" t="s">
        <v>144</v>
      </c>
      <c r="I888" s="199" t="s">
        <v>145</v>
      </c>
      <c r="J888" s="199" t="s">
        <v>146</v>
      </c>
      <c r="K888" s="199" t="s">
        <v>147</v>
      </c>
      <c r="L888" s="200" t="s">
        <v>148</v>
      </c>
      <c r="M888" s="201"/>
      <c r="N888" s="202"/>
      <c r="O888" s="203"/>
      <c r="P888" s="204"/>
      <c r="Q888" s="205"/>
      <c r="R888" s="206"/>
      <c r="S888" s="207"/>
      <c r="T888" s="637"/>
      <c r="U888" s="638"/>
    </row>
    <row r="889" spans="1:21" ht="51.75" customHeight="1">
      <c r="A889" s="568"/>
      <c r="B889" s="208"/>
      <c r="C889" s="595" t="s">
        <v>149</v>
      </c>
      <c r="D889" s="554"/>
      <c r="E889" s="209"/>
      <c r="F889" s="210">
        <f>IF(T875&gt;0,$H$3,0)</f>
        <v>0</v>
      </c>
      <c r="G889" s="211">
        <f>IF(G890+G891&gt;0,1,0)</f>
        <v>0</v>
      </c>
      <c r="H889" s="212">
        <f>IF(H890&gt;0,1,0)</f>
        <v>0</v>
      </c>
      <c r="I889" s="213">
        <f>IF(I890&gt;0,1,0)</f>
        <v>0</v>
      </c>
      <c r="J889" s="213">
        <f>IF(J890&gt;0,1,0)</f>
        <v>0</v>
      </c>
      <c r="K889" s="213">
        <f>IF(K890&gt;0,1,0)</f>
        <v>0</v>
      </c>
      <c r="L889" s="214">
        <f>IF(L890&gt;0,1,0)</f>
        <v>0</v>
      </c>
      <c r="M889" s="639" t="s">
        <v>150</v>
      </c>
      <c r="N889" s="640"/>
      <c r="O889" s="641"/>
      <c r="P889" s="642"/>
      <c r="Q889" s="215"/>
      <c r="R889" s="216"/>
      <c r="S889" s="217"/>
      <c r="T889" s="643"/>
      <c r="U889" s="644"/>
    </row>
    <row r="890" spans="1:21" ht="60.75" customHeight="1" thickBot="1">
      <c r="A890" s="568"/>
      <c r="B890" s="218" t="s">
        <v>151</v>
      </c>
      <c r="C890" s="554"/>
      <c r="D890" s="131"/>
      <c r="E890" s="219">
        <f>IF(E889&gt;0,C$3,0)</f>
        <v>0</v>
      </c>
      <c r="F890" s="220" t="s">
        <v>152</v>
      </c>
      <c r="G890" s="221"/>
      <c r="H890" s="179">
        <f>IF(G882&gt;0,(ROUND((C896*G881),2)*G882),0)+IF(B886&gt;0,(ROUND((C896*B885),2)*B886),0)+IF(F886&gt;0,(ROUND((C896*F885),2)*F886),0)</f>
        <v>0</v>
      </c>
      <c r="I890" s="182">
        <f>IF(E886&gt;0,(ROUND(((D896*D895)/30),2)*E886),0)</f>
        <v>0</v>
      </c>
      <c r="J890" s="182">
        <f>IF(C886&gt;0,(ROUND(C896*C885,2)*C886),0)</f>
        <v>0</v>
      </c>
      <c r="K890" s="182">
        <f>IF(D886&gt;0,(ROUND(C896,2)*D886),0)</f>
        <v>0</v>
      </c>
      <c r="L890" s="222">
        <f>E896</f>
        <v>0</v>
      </c>
      <c r="M890" s="645">
        <f>Q875+M880+L887</f>
        <v>0</v>
      </c>
      <c r="N890" s="646"/>
      <c r="O890" s="202"/>
      <c r="P890" s="223"/>
      <c r="Q890" s="224"/>
      <c r="R890" s="182"/>
      <c r="S890" s="185"/>
      <c r="T890" s="695" t="s">
        <v>153</v>
      </c>
      <c r="U890" s="696"/>
    </row>
    <row r="891" spans="1:21" ht="41.25" customHeight="1" thickTop="1">
      <c r="A891" s="568"/>
      <c r="B891" s="208"/>
      <c r="C891" s="208"/>
      <c r="D891" s="208"/>
      <c r="E891" s="203">
        <f>ROUND((E889*E890),2)</f>
        <v>0</v>
      </c>
      <c r="F891" s="225"/>
      <c r="G891" s="226"/>
      <c r="H891" s="653" t="s">
        <v>309</v>
      </c>
      <c r="I891" s="655" t="s">
        <v>154</v>
      </c>
      <c r="J891" s="657" t="s">
        <v>155</v>
      </c>
      <c r="K891" s="660" t="s">
        <v>156</v>
      </c>
      <c r="L891" s="661" t="s">
        <v>157</v>
      </c>
      <c r="M891" s="661"/>
      <c r="N891" s="661"/>
      <c r="O891" s="662"/>
      <c r="P891" s="663" t="s">
        <v>158</v>
      </c>
      <c r="Q891" s="227" t="s">
        <v>159</v>
      </c>
      <c r="R891" s="228" t="s">
        <v>160</v>
      </c>
      <c r="S891" s="229" t="s">
        <v>161</v>
      </c>
      <c r="T891" s="695" t="s">
        <v>162</v>
      </c>
      <c r="U891" s="696"/>
    </row>
    <row r="892" spans="1:21" ht="92.25" customHeight="1">
      <c r="A892" s="568"/>
      <c r="B892" s="664" t="s">
        <v>163</v>
      </c>
      <c r="C892" s="117" t="s">
        <v>164</v>
      </c>
      <c r="D892" s="337" t="s">
        <v>165</v>
      </c>
      <c r="E892" s="146" t="s">
        <v>166</v>
      </c>
      <c r="F892" s="697" t="s">
        <v>167</v>
      </c>
      <c r="G892" s="191" t="s">
        <v>168</v>
      </c>
      <c r="H892" s="654"/>
      <c r="I892" s="656"/>
      <c r="J892" s="658"/>
      <c r="K892" s="584"/>
      <c r="L892" s="232" t="s">
        <v>169</v>
      </c>
      <c r="M892" s="123" t="s">
        <v>170</v>
      </c>
      <c r="N892" s="136" t="s">
        <v>171</v>
      </c>
      <c r="O892" s="136" t="s">
        <v>172</v>
      </c>
      <c r="P892" s="556"/>
      <c r="Q892" s="233">
        <f>ROUND(IF(S897&gt;$N$4,IF(S897&lt;=$O$4,7866.25+((S897-$N$4)*$O$3)),0)+IF(S897&gt;$O$4,20177.65+((S897-$O$4)*$P$3),0)+IF(S897&lt;=$N$4,IF(S897*E903&gt;0,S897*E903),0),0.1)</f>
        <v>0</v>
      </c>
      <c r="R892" s="234">
        <f>IF(L887&gt;0,ROUND((ROUND((L887),0.1)*E903),0.1),0)</f>
        <v>0</v>
      </c>
      <c r="S892" s="235">
        <f>IF(Q892+R892-D903&gt;=0,Q892+R892-D903,0)+IF(D903-Q892+R892&gt;0&lt;D903+0.001,Q892+R892-D903,0)</f>
        <v>0</v>
      </c>
      <c r="T892" s="695" t="s">
        <v>173</v>
      </c>
      <c r="U892" s="696"/>
    </row>
    <row r="893" spans="1:21" ht="36.75" customHeight="1">
      <c r="A893" s="568"/>
      <c r="B893" s="665"/>
      <c r="C893" s="230"/>
      <c r="D893" s="236"/>
      <c r="E893" s="237"/>
      <c r="F893" s="698"/>
      <c r="G893" s="239" t="s">
        <v>310</v>
      </c>
      <c r="H893" s="654"/>
      <c r="I893" s="656"/>
      <c r="J893" s="658"/>
      <c r="K893" s="584"/>
      <c r="L893" s="123"/>
      <c r="M893" s="240"/>
      <c r="N893" s="241"/>
      <c r="O893" s="136"/>
      <c r="P893" s="556"/>
      <c r="Q893" s="668" t="s">
        <v>174</v>
      </c>
      <c r="R893" s="669"/>
      <c r="S893" s="235">
        <f>ROUND(IF(S892&gt;=L903,S892-L903,0),0.1)</f>
        <v>0</v>
      </c>
      <c r="T893" s="338" t="str">
        <f>L$8</f>
        <v>styczeń</v>
      </c>
      <c r="U893" s="339" t="str">
        <f>N$8</f>
        <v>2011 r.</v>
      </c>
    </row>
    <row r="894" spans="1:21" ht="48" customHeight="1">
      <c r="A894" s="568"/>
      <c r="B894" s="244">
        <f>IF(B895=0,IF(T875&gt;0,IF(T880&gt;0,IF(T880="I kl",O$1)+IF(T880="II kl",P$1)+IF(T880="III kl",Q$1),ROUND((E$1*B903),2)),0),0)</f>
        <v>0</v>
      </c>
      <c r="C894" s="118" t="s">
        <v>175</v>
      </c>
      <c r="D894" s="123" t="s">
        <v>176</v>
      </c>
      <c r="E894" s="245"/>
      <c r="F894" s="698"/>
      <c r="G894" s="139"/>
      <c r="H894" s="246">
        <f>IF(H895&gt;0,1,0)</f>
        <v>0</v>
      </c>
      <c r="I894" s="247">
        <f>IF(I895&gt;0,1,0)</f>
        <v>0</v>
      </c>
      <c r="J894" s="658"/>
      <c r="K894" s="248">
        <f aca="true" t="shared" si="83" ref="K894:P894">IF(K895&gt;0,1,0)</f>
        <v>0</v>
      </c>
      <c r="L894" s="249">
        <f t="shared" si="83"/>
        <v>0</v>
      </c>
      <c r="M894" s="250">
        <f t="shared" si="83"/>
        <v>0</v>
      </c>
      <c r="N894" s="249">
        <f t="shared" si="83"/>
        <v>0</v>
      </c>
      <c r="O894" s="251">
        <f t="shared" si="83"/>
        <v>0</v>
      </c>
      <c r="P894" s="252">
        <f t="shared" si="83"/>
        <v>0</v>
      </c>
      <c r="Q894" s="670" t="s">
        <v>177</v>
      </c>
      <c r="R894" s="253" t="s">
        <v>178</v>
      </c>
      <c r="S894" s="235">
        <v>0</v>
      </c>
      <c r="T894" s="647" t="s">
        <v>179</v>
      </c>
      <c r="U894" s="648"/>
    </row>
    <row r="895" spans="1:21" ht="57.75" customHeight="1" thickBot="1">
      <c r="A895" s="568"/>
      <c r="B895" s="254"/>
      <c r="C895" s="230"/>
      <c r="D895" s="177">
        <v>0.9</v>
      </c>
      <c r="E895" s="255">
        <f>IF(E893&gt;0,$U$1-E894,0)</f>
        <v>0</v>
      </c>
      <c r="F895" s="238">
        <f>IF(F896&gt;0,1,0)</f>
        <v>0</v>
      </c>
      <c r="G895" s="256" t="s">
        <v>180</v>
      </c>
      <c r="H895" s="257">
        <f>P874+L887-P903</f>
        <v>0</v>
      </c>
      <c r="I895" s="233">
        <f>L874+K886</f>
        <v>0</v>
      </c>
      <c r="J895" s="659"/>
      <c r="K895" s="244">
        <f>S879+K885+L885+O885+R885+O898+L901-N895</f>
        <v>0</v>
      </c>
      <c r="L895" s="244"/>
      <c r="M895" s="244">
        <f>G884+IF(G886&gt;0,G886,0)</f>
        <v>0</v>
      </c>
      <c r="N895" s="244">
        <f>L901-L903</f>
        <v>0</v>
      </c>
      <c r="O895" s="244"/>
      <c r="P895" s="258">
        <f>SUM(K895:O895)</f>
        <v>0</v>
      </c>
      <c r="Q895" s="671"/>
      <c r="R895" s="259" t="s">
        <v>181</v>
      </c>
      <c r="S895" s="235">
        <v>0</v>
      </c>
      <c r="T895" s="647" t="s">
        <v>182</v>
      </c>
      <c r="U895" s="648"/>
    </row>
    <row r="896" spans="1:21" ht="45.75" customHeight="1" thickBot="1" thickTop="1">
      <c r="A896" s="569"/>
      <c r="B896" s="244">
        <f>IF(B895=0,ROUND(IF(B894&gt;0,CEILING((B894/G878),0.01),B895),2),B895)</f>
        <v>0</v>
      </c>
      <c r="C896" s="244">
        <f>IF(T875&gt;0,(IF(C893&gt;0,ROUND(((C893-(C893*(B899+C899+D899)))/30),2),0)+IF(C895&gt;0,ROUND((C895/30),2),0))+(IF(IF(C893&gt;0,ROUND(((C893-(C893*(B899+C899+D899)))/30),2),0)+IF(C895&gt;0,ROUND((C895/30),2),0)&lt;ROUND((($F$1*B903)/30),2),(IF(C893+C895&gt;0,ROUND((($F$1*B903)/30),2)-(IF(C893&gt;0,ROUND(((C893-(C893*(B899+C899+D899)))/30),2),0)+IF(C895&gt;0,ROUND((C895/30),2),0)))),0)),0)</f>
        <v>0</v>
      </c>
      <c r="D896" s="244"/>
      <c r="E896" s="244">
        <f>IF(E895&gt;0,IF(ROUND(E893-((E893/30)*E894),2)-H898+O898&gt;0,ROUND(E893-((E893/30)*E894),2)-H898+O898,0),0)</f>
        <v>0</v>
      </c>
      <c r="F896" s="137"/>
      <c r="G896" s="139"/>
      <c r="H896" s="672" t="s">
        <v>183</v>
      </c>
      <c r="I896" s="673"/>
      <c r="J896" s="673"/>
      <c r="K896" s="673"/>
      <c r="L896" s="673"/>
      <c r="M896" s="674" t="s">
        <v>184</v>
      </c>
      <c r="N896" s="675"/>
      <c r="O896" s="260" t="s">
        <v>185</v>
      </c>
      <c r="P896" s="261" t="s">
        <v>186</v>
      </c>
      <c r="Q896" s="676" t="s">
        <v>187</v>
      </c>
      <c r="R896" s="677"/>
      <c r="S896" s="262">
        <f>ROUND((IF(S893-S894&gt;=0,S893-S894,0)+S895),0.1)</f>
        <v>0</v>
      </c>
      <c r="T896" s="263" t="str">
        <f>L$8</f>
        <v>styczeń</v>
      </c>
      <c r="U896" s="264" t="str">
        <f>N$8</f>
        <v>2011 r.</v>
      </c>
    </row>
    <row r="897" spans="1:21" ht="69.75" customHeight="1" thickBot="1" thickTop="1">
      <c r="A897" s="568"/>
      <c r="B897" s="699" t="s">
        <v>188</v>
      </c>
      <c r="C897" s="700"/>
      <c r="D897" s="700"/>
      <c r="E897" s="701"/>
      <c r="F897" s="265" t="s">
        <v>189</v>
      </c>
      <c r="G897" s="266" t="s">
        <v>190</v>
      </c>
      <c r="H897" s="267" t="s">
        <v>191</v>
      </c>
      <c r="I897" s="268" t="s">
        <v>192</v>
      </c>
      <c r="J897" s="269" t="s">
        <v>193</v>
      </c>
      <c r="K897" s="238" t="s">
        <v>194</v>
      </c>
      <c r="L897" s="270" t="s">
        <v>195</v>
      </c>
      <c r="M897" s="198" t="s">
        <v>196</v>
      </c>
      <c r="N897" s="271" t="s">
        <v>197</v>
      </c>
      <c r="O897" s="294" t="s">
        <v>198</v>
      </c>
      <c r="P897" s="273" t="s">
        <v>199</v>
      </c>
      <c r="Q897" s="340" t="s">
        <v>200</v>
      </c>
      <c r="R897" s="275" t="s">
        <v>201</v>
      </c>
      <c r="S897" s="276">
        <f>IF(ROUND((P874-P903-C903),0.1)&gt;0,ROUND((P874-P903-C903),0.1),0)</f>
        <v>0</v>
      </c>
      <c r="T897" s="277"/>
      <c r="U897" s="278"/>
    </row>
    <row r="898" spans="1:21" ht="81" customHeight="1" thickTop="1">
      <c r="A898" s="568"/>
      <c r="B898" s="279" t="s">
        <v>202</v>
      </c>
      <c r="C898" s="279" t="s">
        <v>203</v>
      </c>
      <c r="D898" s="279" t="s">
        <v>204</v>
      </c>
      <c r="E898" s="279" t="s">
        <v>205</v>
      </c>
      <c r="F898" s="279" t="s">
        <v>206</v>
      </c>
      <c r="G898" s="280">
        <f>ROUND((H898*G900),2)</f>
        <v>0</v>
      </c>
      <c r="H898" s="281">
        <f>Q875+O885</f>
        <v>0</v>
      </c>
      <c r="I898" s="282">
        <f>Q875+O885</f>
        <v>0</v>
      </c>
      <c r="J898" s="282">
        <f>Q875+O885</f>
        <v>0</v>
      </c>
      <c r="K898" s="282">
        <f>Q875+O885</f>
        <v>0</v>
      </c>
      <c r="L898" s="283">
        <f>Q875+H885+I885-O898+O885</f>
        <v>0</v>
      </c>
      <c r="M898" s="284">
        <f>IF(D893&gt;0,IF(D893&lt;$U$1,ROUND((($E$1/$U$1)*D893),2),$E$1))+IF(K890&gt;0,K890,0)</f>
        <v>0</v>
      </c>
      <c r="N898" s="285">
        <f>M898</f>
        <v>0</v>
      </c>
      <c r="O898" s="286">
        <f>SUM(H901:J901)</f>
        <v>0</v>
      </c>
      <c r="P898" s="287">
        <f>IF(P899&gt;0,1,0)</f>
        <v>0</v>
      </c>
      <c r="Q898" s="288">
        <f>ROUND((H898-O885-P903+H885+I885)*$R$3,2)</f>
        <v>0</v>
      </c>
      <c r="R898" s="681" t="s">
        <v>207</v>
      </c>
      <c r="S898" s="683" t="s">
        <v>311</v>
      </c>
      <c r="T898" s="289"/>
      <c r="U898" s="278"/>
    </row>
    <row r="899" spans="1:21" ht="38.25" customHeight="1">
      <c r="A899" s="568"/>
      <c r="B899" s="158">
        <f>IF(H898&gt;0,B$2,0)</f>
        <v>0</v>
      </c>
      <c r="C899" s="158">
        <f>IF(I898&gt;0,H$4,0)</f>
        <v>0</v>
      </c>
      <c r="D899" s="158">
        <f>IF(J898&gt;0,F$2,0)</f>
        <v>0</v>
      </c>
      <c r="E899" s="158" t="s">
        <v>208</v>
      </c>
      <c r="F899" s="290" t="s">
        <v>209</v>
      </c>
      <c r="G899" s="291">
        <v>0</v>
      </c>
      <c r="H899" s="685" t="s">
        <v>210</v>
      </c>
      <c r="I899" s="686"/>
      <c r="J899" s="686"/>
      <c r="K899" s="686"/>
      <c r="L899" s="686"/>
      <c r="M899" s="292" t="s">
        <v>211</v>
      </c>
      <c r="N899" s="293" t="s">
        <v>212</v>
      </c>
      <c r="O899" s="294" t="s">
        <v>213</v>
      </c>
      <c r="P899" s="52">
        <f>IF(I898&lt;$E$1,IF(B903=1,IF(T880=0,ROUND((I898*$L$2),2),0),0),ROUND((I898*$L$2),2))</f>
        <v>0</v>
      </c>
      <c r="Q899" s="295" t="s">
        <v>214</v>
      </c>
      <c r="R899" s="682"/>
      <c r="S899" s="684"/>
      <c r="T899" s="289"/>
      <c r="U899" s="278"/>
    </row>
    <row r="900" spans="1:21" ht="42.75" customHeight="1" thickBot="1">
      <c r="A900" s="568"/>
      <c r="B900" s="158">
        <f>IF(H898&gt;0,B$2,0)</f>
        <v>0</v>
      </c>
      <c r="C900" s="158">
        <f>IF(I898&gt;0,D$2,0)</f>
        <v>0</v>
      </c>
      <c r="D900" s="158" t="s">
        <v>208</v>
      </c>
      <c r="E900" s="158">
        <f>IF(K898&gt;0,H$2,0)</f>
        <v>0</v>
      </c>
      <c r="F900" s="158">
        <f>IF(L898&gt;0,J$2,0)</f>
        <v>0</v>
      </c>
      <c r="G900" s="158">
        <f>IF(G899&gt;0,L$1,0)</f>
        <v>0</v>
      </c>
      <c r="H900" s="296" t="s">
        <v>215</v>
      </c>
      <c r="I900" s="297" t="s">
        <v>215</v>
      </c>
      <c r="J900" s="297" t="s">
        <v>215</v>
      </c>
      <c r="K900" s="298" t="s">
        <v>209</v>
      </c>
      <c r="L900" s="299" t="s">
        <v>215</v>
      </c>
      <c r="M900" s="300">
        <f>ROUND(M898*(B$2+B$2),2)</f>
        <v>0</v>
      </c>
      <c r="N900" s="301">
        <f>ROUND(N898*(D$2+H$4),2)</f>
        <v>0</v>
      </c>
      <c r="O900" s="302">
        <f>H903+I903+K903+G898</f>
        <v>0</v>
      </c>
      <c r="P900" s="303" t="s">
        <v>216</v>
      </c>
      <c r="Q900" s="304">
        <f>ROUND((L898*J$2),2)</f>
        <v>0</v>
      </c>
      <c r="R900" s="305" t="s">
        <v>217</v>
      </c>
      <c r="S900" s="684"/>
      <c r="T900" s="289"/>
      <c r="U900" s="278"/>
    </row>
    <row r="901" spans="1:21" ht="53.25" customHeight="1" thickBot="1" thickTop="1">
      <c r="A901" s="568"/>
      <c r="B901" s="141">
        <f>IF(B899+B900&gt;0,1,0)</f>
        <v>0</v>
      </c>
      <c r="C901" s="141">
        <f>IF(C899+C900&gt;0,1,0)</f>
        <v>0</v>
      </c>
      <c r="D901" s="141">
        <f>IF(D899&gt;0,1,0)</f>
        <v>0</v>
      </c>
      <c r="E901" s="141">
        <f>IF(E900&gt;0,1,0)</f>
        <v>0</v>
      </c>
      <c r="F901" s="141">
        <f>IF(F900&gt;0,1,0)</f>
        <v>0</v>
      </c>
      <c r="G901" s="141">
        <f>IF(G900&gt;0,1,0)</f>
        <v>0</v>
      </c>
      <c r="H901" s="306">
        <f>ROUND(H898*B899,2)</f>
        <v>0</v>
      </c>
      <c r="I901" s="307">
        <f>ROUND(I898*C899,2)</f>
        <v>0</v>
      </c>
      <c r="J901" s="307">
        <f>ROUND(J898*D899,2)</f>
        <v>0</v>
      </c>
      <c r="K901" s="244" t="s">
        <v>209</v>
      </c>
      <c r="L901" s="307">
        <f>IF(S892&gt;=ROUND(L898*F900,2),ROUND(L898*F900,2),S892)</f>
        <v>0</v>
      </c>
      <c r="M901" s="687" t="s">
        <v>218</v>
      </c>
      <c r="N901" s="688"/>
      <c r="O901" s="689" t="s">
        <v>219</v>
      </c>
      <c r="P901" s="308">
        <f>IF(P902&gt;0,1,0)</f>
        <v>0</v>
      </c>
      <c r="Q901" s="309" t="s">
        <v>220</v>
      </c>
      <c r="R901" s="310">
        <f>IF(B878=G878,H879+I879+J879+L879+O879+R879+IF(K879&gt;0,ROUND((K879/K877),2),0),0)+IF(B878&lt;G878,IF(B878&gt;0,ROUND((((H879+J879)/B878)*(G878-B891)),2)+IF(K879&gt;0,ROUND((K879/K877),2),0)+I879+L879+O879+R879,0),0)</f>
        <v>0</v>
      </c>
      <c r="S901" s="235">
        <f>IF(S893-S894&lt;0,S894-S893,0)</f>
        <v>0</v>
      </c>
      <c r="T901" s="289"/>
      <c r="U901" s="278"/>
    </row>
    <row r="902" spans="1:22" ht="63" customHeight="1" thickBot="1" thickTop="1">
      <c r="A902" s="568"/>
      <c r="B902" s="311" t="s">
        <v>221</v>
      </c>
      <c r="C902" s="311" t="s">
        <v>222</v>
      </c>
      <c r="D902" s="311" t="s">
        <v>34</v>
      </c>
      <c r="E902" s="146" t="s">
        <v>223</v>
      </c>
      <c r="F902" s="312" t="s">
        <v>224</v>
      </c>
      <c r="G902" s="139">
        <f>IF(Q898&gt;Q892,Q898-Q892,0)</f>
        <v>0</v>
      </c>
      <c r="H902" s="313" t="s">
        <v>225</v>
      </c>
      <c r="I902" s="314" t="s">
        <v>225</v>
      </c>
      <c r="J902" s="298" t="s">
        <v>209</v>
      </c>
      <c r="K902" s="315" t="s">
        <v>225</v>
      </c>
      <c r="L902" s="316" t="s">
        <v>226</v>
      </c>
      <c r="M902" s="317" t="s">
        <v>227</v>
      </c>
      <c r="N902" s="318" t="s">
        <v>228</v>
      </c>
      <c r="O902" s="690"/>
      <c r="P902" s="319">
        <f>ROUND(N$2*H898,2)</f>
        <v>0</v>
      </c>
      <c r="Q902" s="320">
        <f>IF(D893&gt;0,$U$2,0)</f>
        <v>0</v>
      </c>
      <c r="R902" s="321" t="s">
        <v>229</v>
      </c>
      <c r="S902" s="322" t="s">
        <v>230</v>
      </c>
      <c r="T902" s="691" t="s">
        <v>231</v>
      </c>
      <c r="U902" s="702"/>
      <c r="V902" s="323">
        <f>IF(ISBLANK(AM874),0,IF(IF(AF889&gt;=AI$2,AI$2,AF889)&gt;0,IF(AF889&gt;=AI$2,AI$2,AF889),0))</f>
        <v>0</v>
      </c>
    </row>
    <row r="903" spans="1:22" ht="42" customHeight="1" thickBot="1" thickTop="1">
      <c r="A903" s="570"/>
      <c r="B903" s="324">
        <f>IF(ISBLANK(T875),0,1)</f>
        <v>0</v>
      </c>
      <c r="C903" s="324">
        <f>IF(ISBLANK(T875),0,IF(IF(M890&gt;=P$2,P$2,M890)&gt;0,IF(M890&gt;=P$2,P$2,M890),0))</f>
        <v>0</v>
      </c>
      <c r="D903" s="324">
        <f>IF(ISBLANK(T875),0,S$1)</f>
        <v>0</v>
      </c>
      <c r="E903" s="325">
        <f>IF(G878&gt;0,$N$3,0)</f>
        <v>0</v>
      </c>
      <c r="F903" s="326">
        <f>O898+O900+P899+P902+L901+S896</f>
        <v>0</v>
      </c>
      <c r="G903" s="327">
        <f>IF(G902&gt;0,1,0)</f>
        <v>0</v>
      </c>
      <c r="H903" s="328">
        <f>ROUND(H898*B899,2)</f>
        <v>0</v>
      </c>
      <c r="I903" s="329">
        <f>ROUND(I898*C900,2)</f>
        <v>0</v>
      </c>
      <c r="J903" s="182" t="s">
        <v>209</v>
      </c>
      <c r="K903" s="330">
        <f>ROUND(K898*E900,2)</f>
        <v>0</v>
      </c>
      <c r="L903" s="185">
        <f>IF(S892&gt;=ROUND((H898-O885-P903+H885+I885)*$R$3,2),ROUND((H898-O885-P903+H885+I885)*$R$3,2),S892)</f>
        <v>0</v>
      </c>
      <c r="M903" s="179">
        <f>O898+O900</f>
        <v>0</v>
      </c>
      <c r="N903" s="331">
        <f>M903+L901</f>
        <v>0</v>
      </c>
      <c r="O903" s="332">
        <f>SUM(M900:N900)</f>
        <v>0</v>
      </c>
      <c r="P903" s="333">
        <f>ROUND(Q875*B899,2)+ROUND(Q875*C899,2)+ROUND(Q875*D899,2)</f>
        <v>0</v>
      </c>
      <c r="Q903" s="334">
        <f>IF(D893&gt;0,ROUND(($U$2*J$2),2),0)</f>
        <v>0</v>
      </c>
      <c r="R903" s="335">
        <f>IF(B878&gt;=G878/2,IF(B878=G878,H879+I879+J879+L879+O879+P879+R879+IF(K879&gt;0,ROUND((K879/K877),2),0),ROUND((((H879+J879+L879)/B878)*(G878-B891)),2)+IF(K879&gt;0,ROUND((K879/K877),2),0)+I879+O879+P879+R879),0)</f>
        <v>0</v>
      </c>
      <c r="S903" s="336">
        <f>IF(P874-O898-S896-L901&gt;0,P874-O898-S896-L901,0)</f>
        <v>0</v>
      </c>
      <c r="T903" s="693" t="s">
        <v>232</v>
      </c>
      <c r="U903" s="703"/>
      <c r="V903" s="323">
        <f>IF(ISBLANK(AM875),0,IF(IF(AF890&gt;=AJ$2,AJ$2,AF890)&gt;0,IF(AF890&gt;=AJ$2,AJ$2,AF890),0))</f>
        <v>0</v>
      </c>
    </row>
    <row r="904" ht="24" customHeight="1" thickTop="1"/>
    <row r="905" spans="1:23" ht="33" customHeight="1" thickBot="1">
      <c r="A905" s="111" t="s">
        <v>72</v>
      </c>
      <c r="B905" s="112" t="s">
        <v>73</v>
      </c>
      <c r="C905" s="113"/>
      <c r="D905" s="113"/>
      <c r="E905" s="114"/>
      <c r="F905" s="553" t="s">
        <v>74</v>
      </c>
      <c r="G905" s="555" t="s">
        <v>75</v>
      </c>
      <c r="H905" s="557" t="s">
        <v>76</v>
      </c>
      <c r="I905" s="557"/>
      <c r="J905" s="558"/>
      <c r="K905" s="559"/>
      <c r="L905" s="560"/>
      <c r="M905" s="560"/>
      <c r="N905" s="560"/>
      <c r="O905" s="561"/>
      <c r="P905" s="559"/>
      <c r="Q905" s="560"/>
      <c r="R905" s="560"/>
      <c r="S905" s="560"/>
      <c r="T905" s="565" t="s">
        <v>77</v>
      </c>
      <c r="U905" s="566"/>
      <c r="V905" s="102"/>
      <c r="W905" s="115"/>
    </row>
    <row r="906" spans="1:23" ht="44.25" customHeight="1" thickBot="1" thickTop="1">
      <c r="A906" s="567">
        <f>A874+1</f>
        <v>29</v>
      </c>
      <c r="B906" s="571" t="s">
        <v>79</v>
      </c>
      <c r="C906" s="571" t="s">
        <v>80</v>
      </c>
      <c r="D906" s="573" t="s">
        <v>81</v>
      </c>
      <c r="E906" s="573"/>
      <c r="F906" s="554"/>
      <c r="G906" s="556"/>
      <c r="H906" s="574" t="s">
        <v>82</v>
      </c>
      <c r="I906" s="574"/>
      <c r="J906" s="574"/>
      <c r="K906" s="574"/>
      <c r="L906" s="575">
        <f>P906+S912</f>
        <v>0</v>
      </c>
      <c r="M906" s="576"/>
      <c r="N906" s="577" t="s">
        <v>83</v>
      </c>
      <c r="O906" s="578"/>
      <c r="P906" s="575">
        <f>Q907+M912</f>
        <v>0</v>
      </c>
      <c r="Q906" s="576"/>
      <c r="R906" s="119"/>
      <c r="S906" s="120"/>
      <c r="T906" s="121"/>
      <c r="U906" s="122"/>
      <c r="V906" s="102"/>
      <c r="W906" s="115"/>
    </row>
    <row r="907" spans="1:23" ht="36.75" customHeight="1">
      <c r="A907" s="568"/>
      <c r="B907" s="572"/>
      <c r="C907" s="572"/>
      <c r="D907" s="124" t="s">
        <v>85</v>
      </c>
      <c r="E907" s="124" t="s">
        <v>86</v>
      </c>
      <c r="F907" s="554"/>
      <c r="G907" s="556"/>
      <c r="H907" s="562" t="s">
        <v>87</v>
      </c>
      <c r="I907" s="563"/>
      <c r="J907" s="563"/>
      <c r="K907" s="563"/>
      <c r="L907" s="563"/>
      <c r="M907" s="563"/>
      <c r="N907" s="563"/>
      <c r="O907" s="563"/>
      <c r="P907" s="564"/>
      <c r="Q907" s="579">
        <f>SUM(H911:S911)</f>
        <v>0</v>
      </c>
      <c r="R907" s="580"/>
      <c r="S907" s="125"/>
      <c r="T907" s="581"/>
      <c r="U907" s="582"/>
      <c r="V907" s="102"/>
      <c r="W907" s="115"/>
    </row>
    <row r="908" spans="1:23" ht="38.25" customHeight="1">
      <c r="A908" s="568"/>
      <c r="B908" s="572"/>
      <c r="C908" s="126"/>
      <c r="D908" s="124" t="s">
        <v>89</v>
      </c>
      <c r="E908" s="124" t="s">
        <v>89</v>
      </c>
      <c r="F908" s="554"/>
      <c r="G908" s="127"/>
      <c r="H908" s="128" t="s">
        <v>90</v>
      </c>
      <c r="I908" s="129" t="s">
        <v>91</v>
      </c>
      <c r="J908" s="129" t="s">
        <v>92</v>
      </c>
      <c r="K908" s="130" t="s">
        <v>93</v>
      </c>
      <c r="L908" s="583" t="s">
        <v>94</v>
      </c>
      <c r="M908" s="583" t="s">
        <v>95</v>
      </c>
      <c r="N908" s="583" t="s">
        <v>96</v>
      </c>
      <c r="O908" s="585" t="s">
        <v>97</v>
      </c>
      <c r="P908" s="583" t="s">
        <v>98</v>
      </c>
      <c r="Q908" s="587" t="s">
        <v>99</v>
      </c>
      <c r="R908" s="589" t="s">
        <v>100</v>
      </c>
      <c r="S908" s="591" t="s">
        <v>101</v>
      </c>
      <c r="T908" s="581"/>
      <c r="U908" s="582"/>
      <c r="V908" s="102"/>
      <c r="W908" s="115"/>
    </row>
    <row r="909" spans="1:23" ht="30" customHeight="1">
      <c r="A909" s="568"/>
      <c r="B909" s="572"/>
      <c r="C909" s="131"/>
      <c r="D909" s="131"/>
      <c r="E909" s="131"/>
      <c r="F909" s="554"/>
      <c r="G909" s="127"/>
      <c r="H909" s="132" t="s">
        <v>103</v>
      </c>
      <c r="I909" s="133" t="s">
        <v>104</v>
      </c>
      <c r="J909" s="134">
        <v>0</v>
      </c>
      <c r="K909" s="135">
        <v>1</v>
      </c>
      <c r="L909" s="584"/>
      <c r="M909" s="584"/>
      <c r="N909" s="584"/>
      <c r="O909" s="586"/>
      <c r="P909" s="584"/>
      <c r="Q909" s="588"/>
      <c r="R909" s="590"/>
      <c r="S909" s="592"/>
      <c r="T909" s="581"/>
      <c r="U909" s="582"/>
      <c r="V909" s="102"/>
      <c r="W909" s="115"/>
    </row>
    <row r="910" spans="1:21" ht="51" customHeight="1">
      <c r="A910" s="568"/>
      <c r="B910" s="137">
        <f>G910</f>
        <v>0</v>
      </c>
      <c r="C910" s="137"/>
      <c r="D910" s="137"/>
      <c r="E910" s="138"/>
      <c r="F910" s="138"/>
      <c r="G910" s="139">
        <f>B$1*B935</f>
        <v>0</v>
      </c>
      <c r="H910" s="140">
        <f aca="true" t="shared" si="84" ref="H910:S910">IF(H911&gt;0,1,0)</f>
        <v>0</v>
      </c>
      <c r="I910" s="141">
        <f t="shared" si="84"/>
        <v>0</v>
      </c>
      <c r="J910" s="141">
        <f t="shared" si="84"/>
        <v>0</v>
      </c>
      <c r="K910" s="142">
        <f t="shared" si="84"/>
        <v>0</v>
      </c>
      <c r="L910" s="142">
        <f t="shared" si="84"/>
        <v>0</v>
      </c>
      <c r="M910" s="142">
        <f t="shared" si="84"/>
        <v>0</v>
      </c>
      <c r="N910" s="142">
        <f t="shared" si="84"/>
        <v>0</v>
      </c>
      <c r="O910" s="141">
        <f t="shared" si="84"/>
        <v>0</v>
      </c>
      <c r="P910" s="142">
        <f t="shared" si="84"/>
        <v>0</v>
      </c>
      <c r="Q910" s="142">
        <f t="shared" si="84"/>
        <v>0</v>
      </c>
      <c r="R910" s="143">
        <f t="shared" si="84"/>
        <v>0</v>
      </c>
      <c r="S910" s="144">
        <f t="shared" si="84"/>
        <v>0</v>
      </c>
      <c r="T910" s="593"/>
      <c r="U910" s="594"/>
    </row>
    <row r="911" spans="1:22" ht="49.5" customHeight="1" thickBot="1">
      <c r="A911" s="568"/>
      <c r="B911" s="595" t="s">
        <v>106</v>
      </c>
      <c r="C911" s="595" t="s">
        <v>107</v>
      </c>
      <c r="D911" s="596" t="s">
        <v>108</v>
      </c>
      <c r="E911" s="148" t="s">
        <v>109</v>
      </c>
      <c r="F911" s="149"/>
      <c r="G911" s="597" t="s">
        <v>110</v>
      </c>
      <c r="H911" s="150">
        <f>IF(B910+B914+B921+B923+C920+D914+F911&gt;0,IF(B926&gt;0,B926-(IF(E914+F914+G914+B918+C918+D918+E918+F918&gt;0,ROUND((B926/30)*IF(E914+F914+G914+B918+C918+D918+E918+F918&lt;31,E914+F914+G914+B918+C918+D918+E918+F918,30),2),0)+ROUND(((B926/G910)*(B914+B921+B923+C920+D914)),2)),0),0)+IF(B910&gt;G910,IF(B926&gt;0,(B910-G910)*B928,0),0)+IF(B927&gt;0,B927*B910,0)-IF(IF(B910+B914+B921+B923+C920+D914+F911&gt;0,IF(B926&gt;0,B926-(IF(E914+F914+G914+B918+C918+D918+E918+F918&gt;0,ROUND((B926/30)*IF(E914+F914+G914+B918+C918+D918+E918+F918&lt;31,E914+F914+G914+B918+C918+D918+E918+F918,30),2),0)+ROUND(((B926/G910)*(B914+B921+B923+C920+D914)),2)),0),0)&lt;0,IF(B910+B914+B921+B923+C920+D914+F911&gt;0,IF(B926&gt;0,B926-(IF(E914+F914+G914+B918+C918+D918+E918+F918&gt;0,ROUND((B926/30)*IF(E914+F914+G914+B918+C918+D918+E918+F918&lt;31,E914+F914+G914+B918+C918+D918+E918+F918,30),2),0)+ROUND(((B926/G910)*(B914+B921+B923+C920+D914)),2)),0),0),0)</f>
        <v>0</v>
      </c>
      <c r="I911" s="151">
        <f>ROUND(D910*ROUND(B928*150%,2)+E910*ROUND(B928*200%,2),2)</f>
        <v>0</v>
      </c>
      <c r="J911" s="151">
        <f>ROUND((J909*H911),2)</f>
        <v>0</v>
      </c>
      <c r="K911" s="151"/>
      <c r="L911" s="151">
        <f>IF(C910&gt;0,C910*ROUND(B928*U$3,2),0)+IF(U$3=0,IF(C910&gt;0,C910*ROUND(20%*ROUND(E$1/G910,2),2),0))</f>
        <v>0</v>
      </c>
      <c r="M911" s="151">
        <f>IF(B914&gt;0,ROUND((B914*C923),2),0)</f>
        <v>0</v>
      </c>
      <c r="N911" s="151">
        <f>IF(B910+D910+E910+F910&gt;0,ROUND((((H911+I911+J911+L911+O911)/(B910+D910+E910+F910))*D914),2),B928*D914)</f>
        <v>0</v>
      </c>
      <c r="O911" s="151">
        <f>ROUND((F910*B928),2)</f>
        <v>0</v>
      </c>
      <c r="P911" s="151">
        <f>IF(C914&gt;0,ROUND((D923/($I$1*8*B935)),2)*C914,0)</f>
        <v>0</v>
      </c>
      <c r="Q911" s="151"/>
      <c r="R911" s="152"/>
      <c r="S911" s="153">
        <f>IF(G928&gt;500,G928-500,0)+IF(F928&gt;190,F928-190,0)</f>
        <v>0</v>
      </c>
      <c r="T911" s="593"/>
      <c r="U911" s="594"/>
      <c r="V911" s="154"/>
    </row>
    <row r="912" spans="1:21" ht="57" customHeight="1">
      <c r="A912" s="568"/>
      <c r="B912" s="554"/>
      <c r="C912" s="554"/>
      <c r="D912" s="554"/>
      <c r="E912" s="599" t="s">
        <v>112</v>
      </c>
      <c r="F912" s="599"/>
      <c r="G912" s="598"/>
      <c r="H912" s="600" t="s">
        <v>113</v>
      </c>
      <c r="I912" s="601"/>
      <c r="J912" s="601"/>
      <c r="K912" s="601"/>
      <c r="L912" s="601"/>
      <c r="M912" s="602">
        <f>H917+I917+M913</f>
        <v>0</v>
      </c>
      <c r="N912" s="603"/>
      <c r="O912" s="604" t="s">
        <v>114</v>
      </c>
      <c r="P912" s="604"/>
      <c r="Q912" s="604"/>
      <c r="R912" s="604"/>
      <c r="S912" s="156">
        <f>S913+O917</f>
        <v>0</v>
      </c>
      <c r="T912" s="605"/>
      <c r="U912" s="606"/>
    </row>
    <row r="913" spans="1:21" ht="38.25" customHeight="1">
      <c r="A913" s="568"/>
      <c r="B913" s="157"/>
      <c r="C913" s="131"/>
      <c r="D913" s="131"/>
      <c r="E913" s="158">
        <v>0.8</v>
      </c>
      <c r="F913" s="158">
        <v>1</v>
      </c>
      <c r="G913" s="159">
        <v>0.8</v>
      </c>
      <c r="H913" s="607" t="s">
        <v>115</v>
      </c>
      <c r="I913" s="608"/>
      <c r="J913" s="609" t="s">
        <v>116</v>
      </c>
      <c r="K913" s="610"/>
      <c r="L913" s="610"/>
      <c r="M913" s="611">
        <f>SUM(J917:N917)</f>
        <v>0</v>
      </c>
      <c r="N913" s="612"/>
      <c r="O913" s="160" t="s">
        <v>117</v>
      </c>
      <c r="P913" s="613" t="s">
        <v>118</v>
      </c>
      <c r="Q913" s="614"/>
      <c r="R913" s="615"/>
      <c r="S913" s="161">
        <f>SUM(P917:S917)</f>
        <v>0</v>
      </c>
      <c r="T913" s="616"/>
      <c r="U913" s="617"/>
    </row>
    <row r="914" spans="1:21" ht="40.5" customHeight="1">
      <c r="A914" s="568"/>
      <c r="B914" s="137"/>
      <c r="C914" s="137"/>
      <c r="D914" s="137"/>
      <c r="E914" s="137"/>
      <c r="F914" s="137"/>
      <c r="G914" s="139"/>
      <c r="H914" s="618" t="s">
        <v>119</v>
      </c>
      <c r="I914" s="162"/>
      <c r="J914" s="620" t="s">
        <v>120</v>
      </c>
      <c r="K914" s="595" t="s">
        <v>121</v>
      </c>
      <c r="L914" s="595" t="s">
        <v>122</v>
      </c>
      <c r="M914" s="595" t="s">
        <v>123</v>
      </c>
      <c r="N914" s="163" t="s">
        <v>124</v>
      </c>
      <c r="O914" s="622" t="s">
        <v>125</v>
      </c>
      <c r="P914" s="624" t="s">
        <v>126</v>
      </c>
      <c r="Q914" s="584" t="s">
        <v>127</v>
      </c>
      <c r="R914" s="634" t="s">
        <v>128</v>
      </c>
      <c r="S914" s="633" t="s">
        <v>129</v>
      </c>
      <c r="T914" s="164"/>
      <c r="U914" s="165"/>
    </row>
    <row r="915" spans="1:21" ht="39.75" customHeight="1">
      <c r="A915" s="568"/>
      <c r="B915" s="571" t="s">
        <v>110</v>
      </c>
      <c r="C915" s="571" t="s">
        <v>130</v>
      </c>
      <c r="D915" s="571" t="s">
        <v>131</v>
      </c>
      <c r="E915" s="571" t="s">
        <v>132</v>
      </c>
      <c r="F915" s="571" t="s">
        <v>110</v>
      </c>
      <c r="G915" s="166" t="s">
        <v>133</v>
      </c>
      <c r="H915" s="619"/>
      <c r="I915" s="167"/>
      <c r="J915" s="621"/>
      <c r="K915" s="554"/>
      <c r="L915" s="554"/>
      <c r="M915" s="554"/>
      <c r="N915" s="168" t="s">
        <v>134</v>
      </c>
      <c r="O915" s="623"/>
      <c r="P915" s="624"/>
      <c r="Q915" s="584"/>
      <c r="R915" s="634"/>
      <c r="S915" s="633"/>
      <c r="T915" s="627">
        <f>I927-S928-P927</f>
        <v>0</v>
      </c>
      <c r="U915" s="628"/>
    </row>
    <row r="916" spans="1:21" ht="35.25" customHeight="1">
      <c r="A916" s="568"/>
      <c r="B916" s="572"/>
      <c r="C916" s="572"/>
      <c r="D916" s="572"/>
      <c r="E916" s="572"/>
      <c r="F916" s="572"/>
      <c r="G916" s="139"/>
      <c r="H916" s="169">
        <f aca="true" t="shared" si="85" ref="H916:M916">IF(H917&gt;0,1,0)</f>
        <v>0</v>
      </c>
      <c r="I916" s="170">
        <f t="shared" si="85"/>
        <v>0</v>
      </c>
      <c r="J916" s="171">
        <f t="shared" si="85"/>
        <v>0</v>
      </c>
      <c r="K916" s="172">
        <f t="shared" si="85"/>
        <v>0</v>
      </c>
      <c r="L916" s="173">
        <f t="shared" si="85"/>
        <v>0</v>
      </c>
      <c r="M916" s="173">
        <f t="shared" si="85"/>
        <v>0</v>
      </c>
      <c r="N916" s="174">
        <v>0</v>
      </c>
      <c r="O916" s="175">
        <f>IF(O917&gt;0,1,0)</f>
        <v>0</v>
      </c>
      <c r="P916" s="171">
        <f>IF(P917&gt;0,1,0)</f>
        <v>0</v>
      </c>
      <c r="Q916" s="173">
        <f>IF(Q917&gt;0,1,0)</f>
        <v>0</v>
      </c>
      <c r="R916" s="173">
        <f>IF(R917&gt;0,1,0)</f>
        <v>0</v>
      </c>
      <c r="S916" s="176">
        <f>IF(S917&gt;0,1,0)</f>
        <v>0</v>
      </c>
      <c r="T916" s="627"/>
      <c r="U916" s="628"/>
    </row>
    <row r="917" spans="1:21" ht="36" customHeight="1" thickBot="1">
      <c r="A917" s="568"/>
      <c r="B917" s="177">
        <v>1</v>
      </c>
      <c r="C917" s="177">
        <v>0.8</v>
      </c>
      <c r="D917" s="572"/>
      <c r="E917" s="572"/>
      <c r="F917" s="177">
        <v>0.7</v>
      </c>
      <c r="G917" s="178">
        <v>0</v>
      </c>
      <c r="H917" s="179">
        <f>IF(E914&gt;0,ROUND((C928*E913),2)*E914,0)+IF(F914&gt;0,C928*F914,0)</f>
        <v>0</v>
      </c>
      <c r="I917" s="180"/>
      <c r="J917" s="181">
        <f>IF(G910&gt;0,IF(B910&gt;=G910,E923-((E923/22)*F923),(E923-(ROUND(((E923/22)*(((G910-B910)/8*B935)+F923)),2))))-IF(B910=0,0,0)-IF(B910&lt;=F923*8*B935,E923-ROUND(((E923/22)*(((G910-B910)/8*B935)+F923)),2),0),0)</f>
        <v>0</v>
      </c>
      <c r="K917" s="182">
        <f>G926-R917</f>
        <v>0</v>
      </c>
      <c r="L917" s="182">
        <f>IF(F928&gt;0,IF(F928&lt;190,F928,190),0)</f>
        <v>0</v>
      </c>
      <c r="M917" s="182"/>
      <c r="N917" s="183">
        <f>IF(N916&gt;0,L$3*B935*N916,0)</f>
        <v>0</v>
      </c>
      <c r="O917" s="184">
        <f>IF(C935&lt;=$P$2,IF(G928&gt;0,IF(G928&lt;500,G928,500),0),0)</f>
        <v>0</v>
      </c>
      <c r="P917" s="181">
        <f>IF(G923&gt;0,ROUND(((G923/G910)*B910),2),0)+G922</f>
        <v>0</v>
      </c>
      <c r="Q917" s="182">
        <f>IF(F921&gt;0,ROUND((F921/G910)*B910,2),0)</f>
        <v>0</v>
      </c>
      <c r="R917" s="182">
        <f>IF(G926&gt;0,IF(G926&lt;380,G926,380),0)</f>
        <v>0</v>
      </c>
      <c r="S917" s="185"/>
      <c r="T917" s="627"/>
      <c r="U917" s="628"/>
    </row>
    <row r="918" spans="1:21" ht="60" customHeight="1" thickBot="1" thickTop="1">
      <c r="A918" s="568"/>
      <c r="B918" s="137"/>
      <c r="C918" s="137"/>
      <c r="D918" s="137"/>
      <c r="E918" s="137"/>
      <c r="F918" s="137"/>
      <c r="G918" s="139">
        <f>IF(L906+L919-Q917-P917-K927-J917&gt;$F$1,IF(G917&gt;0,IF(((H927-S928-L933-L927-J917-K917-L917-O930+P935)*(100%-G917))&gt;=(($F$1*B935)-IF(ROUND(((ROUND(($F$1-C935),0.1)*E935)-D935),0.1)&gt;0,ROUND(((ROUND(($F$1-C935),0.1)*E935)-D935),0.1),0)),((H927-S928-L933-L927-J917-K917-L917-O930+P935)*G917)))+IF(G917&gt;0,IF(((H927-S928-L933-L927-J917-K917-L917-O930+P935)*(100%-G917))&lt;(($F$1*B935)-IF(ROUND(((ROUND(($F$1-C935),0.1)*E935)-D935),0.1)&gt;0,ROUND(((ROUND(($F$1-C935),0.1)*E935)-D935),0.1),0)),(H927-S928-L933-L927-J917-K917-L917-O930+P935)-(($F$1*B935)-IF(ROUND(((ROUND(($F$1-C935),0.1)*E935)-D935),0.1)&gt;0,ROUND(((ROUND(($F$1-C935),0.1)*E935)-D935),0.1),0)))),0)</f>
        <v>0</v>
      </c>
      <c r="H918" s="629" t="s">
        <v>135</v>
      </c>
      <c r="I918" s="630"/>
      <c r="J918" s="630"/>
      <c r="K918" s="575">
        <f>L919+P918</f>
        <v>0</v>
      </c>
      <c r="L918" s="576"/>
      <c r="M918" s="631" t="s">
        <v>136</v>
      </c>
      <c r="N918" s="632"/>
      <c r="O918" s="632"/>
      <c r="P918" s="575">
        <f>P919+S919</f>
        <v>0</v>
      </c>
      <c r="Q918" s="575"/>
      <c r="R918" s="186"/>
      <c r="S918" s="186"/>
      <c r="T918" s="187">
        <v>200</v>
      </c>
      <c r="U918" s="188">
        <f>ROUND(((1400/'[1]Li-pł zlec'!$V$1)*'[1]LI-PŁ-prac'!T918),2)+((H917+L919)-ROUND(((H917+L919)*$N$3),2))+O920+P920+P922+R922+S922-O927-L927-M927</f>
        <v>1750</v>
      </c>
    </row>
    <row r="919" spans="1:21" ht="119.25" customHeight="1">
      <c r="A919" s="568"/>
      <c r="B919" s="189" t="s">
        <v>137</v>
      </c>
      <c r="C919" s="190" t="s">
        <v>138</v>
      </c>
      <c r="D919" s="595" t="s">
        <v>139</v>
      </c>
      <c r="E919" s="649" t="s">
        <v>307</v>
      </c>
      <c r="F919" s="191" t="s">
        <v>140</v>
      </c>
      <c r="G919" s="192" t="s">
        <v>141</v>
      </c>
      <c r="H919" s="651" t="s">
        <v>142</v>
      </c>
      <c r="I919" s="652"/>
      <c r="J919" s="652"/>
      <c r="K919" s="652"/>
      <c r="L919" s="193">
        <f>SUM(H922:L922)</f>
        <v>0</v>
      </c>
      <c r="M919" s="625"/>
      <c r="N919" s="626"/>
      <c r="O919" s="626"/>
      <c r="P919" s="193"/>
      <c r="Q919" s="635"/>
      <c r="R919" s="636"/>
      <c r="S919" s="194"/>
      <c r="T919" s="637"/>
      <c r="U919" s="638"/>
    </row>
    <row r="920" spans="1:21" ht="141" customHeight="1" thickBot="1">
      <c r="A920" s="568"/>
      <c r="B920" s="195" t="s">
        <v>143</v>
      </c>
      <c r="C920" s="196"/>
      <c r="D920" s="554"/>
      <c r="E920" s="650"/>
      <c r="F920" s="197">
        <f>IF(F921&gt;0,1,0)</f>
        <v>0</v>
      </c>
      <c r="G920" s="155" t="s">
        <v>308</v>
      </c>
      <c r="H920" s="198" t="s">
        <v>144</v>
      </c>
      <c r="I920" s="199" t="s">
        <v>145</v>
      </c>
      <c r="J920" s="199" t="s">
        <v>146</v>
      </c>
      <c r="K920" s="199" t="s">
        <v>147</v>
      </c>
      <c r="L920" s="200" t="s">
        <v>148</v>
      </c>
      <c r="M920" s="201"/>
      <c r="N920" s="202"/>
      <c r="O920" s="203"/>
      <c r="P920" s="204"/>
      <c r="Q920" s="205"/>
      <c r="R920" s="206"/>
      <c r="S920" s="207"/>
      <c r="T920" s="637"/>
      <c r="U920" s="638"/>
    </row>
    <row r="921" spans="1:21" ht="51.75" customHeight="1">
      <c r="A921" s="568"/>
      <c r="B921" s="208"/>
      <c r="C921" s="595" t="s">
        <v>149</v>
      </c>
      <c r="D921" s="554"/>
      <c r="E921" s="209"/>
      <c r="F921" s="210">
        <f>IF(T907&gt;0,$H$3,0)</f>
        <v>0</v>
      </c>
      <c r="G921" s="211">
        <f>IF(G922+G923&gt;0,1,0)</f>
        <v>0</v>
      </c>
      <c r="H921" s="212">
        <f>IF(H922&gt;0,1,0)</f>
        <v>0</v>
      </c>
      <c r="I921" s="213">
        <f>IF(I922&gt;0,1,0)</f>
        <v>0</v>
      </c>
      <c r="J921" s="213">
        <f>IF(J922&gt;0,1,0)</f>
        <v>0</v>
      </c>
      <c r="K921" s="213">
        <f>IF(K922&gt;0,1,0)</f>
        <v>0</v>
      </c>
      <c r="L921" s="214">
        <f>IF(L922&gt;0,1,0)</f>
        <v>0</v>
      </c>
      <c r="M921" s="639" t="s">
        <v>150</v>
      </c>
      <c r="N921" s="640"/>
      <c r="O921" s="641"/>
      <c r="P921" s="642"/>
      <c r="Q921" s="215"/>
      <c r="R921" s="216"/>
      <c r="S921" s="217"/>
      <c r="T921" s="643"/>
      <c r="U921" s="644"/>
    </row>
    <row r="922" spans="1:21" ht="60.75" customHeight="1" thickBot="1">
      <c r="A922" s="568"/>
      <c r="B922" s="218" t="s">
        <v>151</v>
      </c>
      <c r="C922" s="554"/>
      <c r="D922" s="131"/>
      <c r="E922" s="219">
        <f>IF(E921&gt;0,C$3,0)</f>
        <v>0</v>
      </c>
      <c r="F922" s="220" t="s">
        <v>152</v>
      </c>
      <c r="G922" s="221"/>
      <c r="H922" s="179">
        <f>IF(G914&gt;0,(ROUND((C928*G913),2)*G914),0)+IF(B918&gt;0,(ROUND((C928*B917),2)*B918),0)+IF(F918&gt;0,(ROUND((C928*F917),2)*F918),0)</f>
        <v>0</v>
      </c>
      <c r="I922" s="182">
        <f>IF(E918&gt;0,(ROUND(((D928*D927)/30),2)*E918),0)</f>
        <v>0</v>
      </c>
      <c r="J922" s="182">
        <f>IF(C918&gt;0,(ROUND(C928*C917,2)*C918),0)</f>
        <v>0</v>
      </c>
      <c r="K922" s="182">
        <f>IF(D918&gt;0,(ROUND(C928,2)*D918),0)</f>
        <v>0</v>
      </c>
      <c r="L922" s="222">
        <f>E928</f>
        <v>0</v>
      </c>
      <c r="M922" s="645">
        <f>Q907+M912+L919</f>
        <v>0</v>
      </c>
      <c r="N922" s="646"/>
      <c r="O922" s="202"/>
      <c r="P922" s="223"/>
      <c r="Q922" s="224"/>
      <c r="R922" s="182"/>
      <c r="S922" s="185"/>
      <c r="T922" s="695" t="s">
        <v>153</v>
      </c>
      <c r="U922" s="696"/>
    </row>
    <row r="923" spans="1:21" ht="41.25" customHeight="1" thickTop="1">
      <c r="A923" s="568"/>
      <c r="B923" s="208"/>
      <c r="C923" s="208"/>
      <c r="D923" s="208"/>
      <c r="E923" s="203">
        <f>ROUND((E921*E922),2)</f>
        <v>0</v>
      </c>
      <c r="F923" s="225"/>
      <c r="G923" s="226"/>
      <c r="H923" s="653" t="s">
        <v>309</v>
      </c>
      <c r="I923" s="655" t="s">
        <v>154</v>
      </c>
      <c r="J923" s="657" t="s">
        <v>155</v>
      </c>
      <c r="K923" s="660" t="s">
        <v>156</v>
      </c>
      <c r="L923" s="661" t="s">
        <v>157</v>
      </c>
      <c r="M923" s="661"/>
      <c r="N923" s="661"/>
      <c r="O923" s="662"/>
      <c r="P923" s="663" t="s">
        <v>158</v>
      </c>
      <c r="Q923" s="227" t="s">
        <v>159</v>
      </c>
      <c r="R923" s="228" t="s">
        <v>160</v>
      </c>
      <c r="S923" s="229" t="s">
        <v>161</v>
      </c>
      <c r="T923" s="695" t="s">
        <v>162</v>
      </c>
      <c r="U923" s="696"/>
    </row>
    <row r="924" spans="1:21" ht="92.25" customHeight="1">
      <c r="A924" s="568"/>
      <c r="B924" s="664" t="s">
        <v>163</v>
      </c>
      <c r="C924" s="117" t="s">
        <v>164</v>
      </c>
      <c r="D924" s="337" t="s">
        <v>165</v>
      </c>
      <c r="E924" s="146" t="s">
        <v>166</v>
      </c>
      <c r="F924" s="697" t="s">
        <v>167</v>
      </c>
      <c r="G924" s="191" t="s">
        <v>168</v>
      </c>
      <c r="H924" s="654"/>
      <c r="I924" s="656"/>
      <c r="J924" s="658"/>
      <c r="K924" s="584"/>
      <c r="L924" s="232" t="s">
        <v>169</v>
      </c>
      <c r="M924" s="123" t="s">
        <v>170</v>
      </c>
      <c r="N924" s="136" t="s">
        <v>171</v>
      </c>
      <c r="O924" s="136" t="s">
        <v>172</v>
      </c>
      <c r="P924" s="556"/>
      <c r="Q924" s="233">
        <f>ROUND(IF(S929&gt;$N$4,IF(S929&lt;=$O$4,7866.25+((S929-$N$4)*$O$3)),0)+IF(S929&gt;$O$4,20177.65+((S929-$O$4)*$P$3),0)+IF(S929&lt;=$N$4,IF(S929*E935&gt;0,S929*E935),0),0.1)</f>
        <v>0</v>
      </c>
      <c r="R924" s="234">
        <f>IF(L919&gt;0,ROUND((ROUND((L919),0.1)*E935),0.1),0)</f>
        <v>0</v>
      </c>
      <c r="S924" s="235">
        <f>IF(Q924+R924-D935&gt;=0,Q924+R924-D935,0)+IF(D935-Q924+R924&gt;0&lt;D935+0.001,Q924+R924-D935,0)</f>
        <v>0</v>
      </c>
      <c r="T924" s="695" t="s">
        <v>173</v>
      </c>
      <c r="U924" s="696"/>
    </row>
    <row r="925" spans="1:21" ht="36.75" customHeight="1">
      <c r="A925" s="568"/>
      <c r="B925" s="665"/>
      <c r="C925" s="230"/>
      <c r="D925" s="236"/>
      <c r="E925" s="237"/>
      <c r="F925" s="698"/>
      <c r="G925" s="239" t="s">
        <v>310</v>
      </c>
      <c r="H925" s="654"/>
      <c r="I925" s="656"/>
      <c r="J925" s="658"/>
      <c r="K925" s="584"/>
      <c r="L925" s="123"/>
      <c r="M925" s="240"/>
      <c r="N925" s="241"/>
      <c r="O925" s="136"/>
      <c r="P925" s="556"/>
      <c r="Q925" s="668" t="s">
        <v>174</v>
      </c>
      <c r="R925" s="669"/>
      <c r="S925" s="235">
        <f>ROUND(IF(S924&gt;=L935,S924-L935,0),0.1)</f>
        <v>0</v>
      </c>
      <c r="T925" s="338" t="str">
        <f>L$8</f>
        <v>styczeń</v>
      </c>
      <c r="U925" s="339" t="str">
        <f>N$8</f>
        <v>2011 r.</v>
      </c>
    </row>
    <row r="926" spans="1:21" ht="48" customHeight="1">
      <c r="A926" s="568"/>
      <c r="B926" s="244">
        <f>IF(B927=0,IF(T907&gt;0,IF(T912&gt;0,IF(T912="I kl",O$1)+IF(T912="II kl",P$1)+IF(T912="III kl",Q$1),ROUND((E$1*B935),2)),0),0)</f>
        <v>0</v>
      </c>
      <c r="C926" s="118" t="s">
        <v>175</v>
      </c>
      <c r="D926" s="123" t="s">
        <v>176</v>
      </c>
      <c r="E926" s="245"/>
      <c r="F926" s="698"/>
      <c r="G926" s="139"/>
      <c r="H926" s="246">
        <f>IF(H927&gt;0,1,0)</f>
        <v>0</v>
      </c>
      <c r="I926" s="247">
        <f>IF(I927&gt;0,1,0)</f>
        <v>0</v>
      </c>
      <c r="J926" s="658"/>
      <c r="K926" s="248">
        <f aca="true" t="shared" si="86" ref="K926:P926">IF(K927&gt;0,1,0)</f>
        <v>0</v>
      </c>
      <c r="L926" s="249">
        <f t="shared" si="86"/>
        <v>0</v>
      </c>
      <c r="M926" s="250">
        <f t="shared" si="86"/>
        <v>0</v>
      </c>
      <c r="N926" s="249">
        <f t="shared" si="86"/>
        <v>0</v>
      </c>
      <c r="O926" s="251">
        <f t="shared" si="86"/>
        <v>0</v>
      </c>
      <c r="P926" s="252">
        <f t="shared" si="86"/>
        <v>0</v>
      </c>
      <c r="Q926" s="670" t="s">
        <v>177</v>
      </c>
      <c r="R926" s="253" t="s">
        <v>178</v>
      </c>
      <c r="S926" s="235">
        <v>0</v>
      </c>
      <c r="T926" s="647" t="s">
        <v>179</v>
      </c>
      <c r="U926" s="648"/>
    </row>
    <row r="927" spans="1:21" ht="57.75" customHeight="1" thickBot="1">
      <c r="A927" s="568"/>
      <c r="B927" s="254"/>
      <c r="C927" s="230"/>
      <c r="D927" s="177">
        <v>0.9</v>
      </c>
      <c r="E927" s="255">
        <f>IF(E925&gt;0,$U$1-E926,0)</f>
        <v>0</v>
      </c>
      <c r="F927" s="238">
        <f>IF(F928&gt;0,1,0)</f>
        <v>0</v>
      </c>
      <c r="G927" s="256" t="s">
        <v>180</v>
      </c>
      <c r="H927" s="257">
        <f>P906+L919-P935</f>
        <v>0</v>
      </c>
      <c r="I927" s="233">
        <f>L906+K918</f>
        <v>0</v>
      </c>
      <c r="J927" s="659"/>
      <c r="K927" s="244">
        <f>S911+K917+L917+O917+R917+O930+L933-N927</f>
        <v>0</v>
      </c>
      <c r="L927" s="244"/>
      <c r="M927" s="244">
        <f>G916+IF(G918&gt;0,G918,0)</f>
        <v>0</v>
      </c>
      <c r="N927" s="244">
        <f>L933-L935</f>
        <v>0</v>
      </c>
      <c r="O927" s="244"/>
      <c r="P927" s="258">
        <f>SUM(K927:O927)</f>
        <v>0</v>
      </c>
      <c r="Q927" s="671"/>
      <c r="R927" s="259" t="s">
        <v>181</v>
      </c>
      <c r="S927" s="235">
        <v>0</v>
      </c>
      <c r="T927" s="647" t="s">
        <v>182</v>
      </c>
      <c r="U927" s="648"/>
    </row>
    <row r="928" spans="1:21" ht="45.75" customHeight="1" thickBot="1" thickTop="1">
      <c r="A928" s="569"/>
      <c r="B928" s="244">
        <f>IF(B927=0,ROUND(IF(B926&gt;0,CEILING((B926/G910),0.01),B927),2),B927)</f>
        <v>0</v>
      </c>
      <c r="C928" s="244">
        <f>IF(T907&gt;0,(IF(C925&gt;0,ROUND(((C925-(C925*(B931+C931+D931)))/30),2),0)+IF(C927&gt;0,ROUND((C927/30),2),0))+(IF(IF(C925&gt;0,ROUND(((C925-(C925*(B931+C931+D931)))/30),2),0)+IF(C927&gt;0,ROUND((C927/30),2),0)&lt;ROUND((($F$1*B935)/30),2),(IF(C925+C927&gt;0,ROUND((($F$1*B935)/30),2)-(IF(C925&gt;0,ROUND(((C925-(C925*(B931+C931+D931)))/30),2),0)+IF(C927&gt;0,ROUND((C927/30),2),0)))),0)),0)</f>
        <v>0</v>
      </c>
      <c r="D928" s="244"/>
      <c r="E928" s="244">
        <f>IF(E927&gt;0,IF(ROUND(E925-((E925/30)*E926),2)-H930+O930&gt;0,ROUND(E925-((E925/30)*E926),2)-H930+O930,0),0)</f>
        <v>0</v>
      </c>
      <c r="F928" s="137"/>
      <c r="G928" s="139"/>
      <c r="H928" s="672" t="s">
        <v>183</v>
      </c>
      <c r="I928" s="673"/>
      <c r="J928" s="673"/>
      <c r="K928" s="673"/>
      <c r="L928" s="673"/>
      <c r="M928" s="674" t="s">
        <v>184</v>
      </c>
      <c r="N928" s="675"/>
      <c r="O928" s="260" t="s">
        <v>185</v>
      </c>
      <c r="P928" s="261" t="s">
        <v>186</v>
      </c>
      <c r="Q928" s="676" t="s">
        <v>187</v>
      </c>
      <c r="R928" s="677"/>
      <c r="S928" s="262">
        <f>ROUND((IF(S925-S926&gt;=0,S925-S926,0)+S927),0.1)</f>
        <v>0</v>
      </c>
      <c r="T928" s="263" t="str">
        <f>L$8</f>
        <v>styczeń</v>
      </c>
      <c r="U928" s="264" t="str">
        <f>N$8</f>
        <v>2011 r.</v>
      </c>
    </row>
    <row r="929" spans="1:21" ht="69.75" customHeight="1" thickBot="1" thickTop="1">
      <c r="A929" s="568"/>
      <c r="B929" s="699" t="s">
        <v>188</v>
      </c>
      <c r="C929" s="700"/>
      <c r="D929" s="700"/>
      <c r="E929" s="701"/>
      <c r="F929" s="265" t="s">
        <v>189</v>
      </c>
      <c r="G929" s="266" t="s">
        <v>190</v>
      </c>
      <c r="H929" s="267" t="s">
        <v>191</v>
      </c>
      <c r="I929" s="268" t="s">
        <v>192</v>
      </c>
      <c r="J929" s="269" t="s">
        <v>193</v>
      </c>
      <c r="K929" s="238" t="s">
        <v>194</v>
      </c>
      <c r="L929" s="270" t="s">
        <v>195</v>
      </c>
      <c r="M929" s="198" t="s">
        <v>196</v>
      </c>
      <c r="N929" s="271" t="s">
        <v>197</v>
      </c>
      <c r="O929" s="294" t="s">
        <v>198</v>
      </c>
      <c r="P929" s="273" t="s">
        <v>199</v>
      </c>
      <c r="Q929" s="340" t="s">
        <v>200</v>
      </c>
      <c r="R929" s="275" t="s">
        <v>201</v>
      </c>
      <c r="S929" s="276">
        <f>IF(ROUND((P906-P935-C935),0.1)&gt;0,ROUND((P906-P935-C935),0.1),0)</f>
        <v>0</v>
      </c>
      <c r="T929" s="277"/>
      <c r="U929" s="278"/>
    </row>
    <row r="930" spans="1:21" ht="81" customHeight="1" thickTop="1">
      <c r="A930" s="568"/>
      <c r="B930" s="279" t="s">
        <v>202</v>
      </c>
      <c r="C930" s="279" t="s">
        <v>203</v>
      </c>
      <c r="D930" s="279" t="s">
        <v>204</v>
      </c>
      <c r="E930" s="279" t="s">
        <v>205</v>
      </c>
      <c r="F930" s="279" t="s">
        <v>206</v>
      </c>
      <c r="G930" s="280">
        <f>ROUND((H930*G932),2)</f>
        <v>0</v>
      </c>
      <c r="H930" s="281">
        <f>Q907+O917</f>
        <v>0</v>
      </c>
      <c r="I930" s="282">
        <f>Q907+O917</f>
        <v>0</v>
      </c>
      <c r="J930" s="282">
        <f>Q907+O917</f>
        <v>0</v>
      </c>
      <c r="K930" s="282">
        <f>Q907+O917</f>
        <v>0</v>
      </c>
      <c r="L930" s="283">
        <f>Q907+H917+I917-O930+O917</f>
        <v>0</v>
      </c>
      <c r="M930" s="284">
        <f>IF(D925&gt;0,IF(D925&lt;$U$1,ROUND((($E$1/$U$1)*D925),2),$E$1))+IF(K922&gt;0,K922,0)</f>
        <v>0</v>
      </c>
      <c r="N930" s="285">
        <f>M930</f>
        <v>0</v>
      </c>
      <c r="O930" s="286">
        <f>SUM(H933:J933)</f>
        <v>0</v>
      </c>
      <c r="P930" s="287">
        <f>IF(P931&gt;0,1,0)</f>
        <v>0</v>
      </c>
      <c r="Q930" s="288">
        <f>ROUND((H930-O917-P935+H917+I917)*$R$3,2)</f>
        <v>0</v>
      </c>
      <c r="R930" s="681" t="s">
        <v>207</v>
      </c>
      <c r="S930" s="683" t="s">
        <v>311</v>
      </c>
      <c r="T930" s="289"/>
      <c r="U930" s="278"/>
    </row>
    <row r="931" spans="1:21" ht="38.25" customHeight="1">
      <c r="A931" s="568"/>
      <c r="B931" s="158">
        <f>IF(H930&gt;0,B$2,0)</f>
        <v>0</v>
      </c>
      <c r="C931" s="158">
        <f>IF(I930&gt;0,H$4,0)</f>
        <v>0</v>
      </c>
      <c r="D931" s="158">
        <f>IF(J930&gt;0,F$2,0)</f>
        <v>0</v>
      </c>
      <c r="E931" s="158" t="s">
        <v>208</v>
      </c>
      <c r="F931" s="290" t="s">
        <v>209</v>
      </c>
      <c r="G931" s="291">
        <v>0</v>
      </c>
      <c r="H931" s="685" t="s">
        <v>210</v>
      </c>
      <c r="I931" s="686"/>
      <c r="J931" s="686"/>
      <c r="K931" s="686"/>
      <c r="L931" s="686"/>
      <c r="M931" s="292" t="s">
        <v>211</v>
      </c>
      <c r="N931" s="293" t="s">
        <v>212</v>
      </c>
      <c r="O931" s="294" t="s">
        <v>213</v>
      </c>
      <c r="P931" s="52">
        <f>IF(I930&lt;$E$1,IF(B935=1,IF(T912=0,ROUND((I930*$L$2),2),0),0),ROUND((I930*$L$2),2))</f>
        <v>0</v>
      </c>
      <c r="Q931" s="295" t="s">
        <v>214</v>
      </c>
      <c r="R931" s="682"/>
      <c r="S931" s="684"/>
      <c r="T931" s="289"/>
      <c r="U931" s="278"/>
    </row>
    <row r="932" spans="1:21" ht="42.75" customHeight="1" thickBot="1">
      <c r="A932" s="568"/>
      <c r="B932" s="158">
        <f>IF(H930&gt;0,B$2,0)</f>
        <v>0</v>
      </c>
      <c r="C932" s="158">
        <f>IF(I930&gt;0,D$2,0)</f>
        <v>0</v>
      </c>
      <c r="D932" s="158" t="s">
        <v>208</v>
      </c>
      <c r="E932" s="158">
        <f>IF(K930&gt;0,H$2,0)</f>
        <v>0</v>
      </c>
      <c r="F932" s="158">
        <f>IF(L930&gt;0,J$2,0)</f>
        <v>0</v>
      </c>
      <c r="G932" s="158">
        <f>IF(G931&gt;0,L$1,0)</f>
        <v>0</v>
      </c>
      <c r="H932" s="296" t="s">
        <v>215</v>
      </c>
      <c r="I932" s="297" t="s">
        <v>215</v>
      </c>
      <c r="J932" s="297" t="s">
        <v>215</v>
      </c>
      <c r="K932" s="298" t="s">
        <v>209</v>
      </c>
      <c r="L932" s="299" t="s">
        <v>215</v>
      </c>
      <c r="M932" s="300">
        <f>ROUND(M930*(B$2+B$2),2)</f>
        <v>0</v>
      </c>
      <c r="N932" s="301">
        <f>ROUND(N930*(D$2+H$4),2)</f>
        <v>0</v>
      </c>
      <c r="O932" s="302">
        <f>H935+I935+K935+G930</f>
        <v>0</v>
      </c>
      <c r="P932" s="303" t="s">
        <v>216</v>
      </c>
      <c r="Q932" s="304">
        <f>ROUND((L930*J$2),2)</f>
        <v>0</v>
      </c>
      <c r="R932" s="305" t="s">
        <v>217</v>
      </c>
      <c r="S932" s="684"/>
      <c r="T932" s="289"/>
      <c r="U932" s="278"/>
    </row>
    <row r="933" spans="1:21" ht="53.25" customHeight="1" thickBot="1" thickTop="1">
      <c r="A933" s="568"/>
      <c r="B933" s="141">
        <f>IF(B931+B932&gt;0,1,0)</f>
        <v>0</v>
      </c>
      <c r="C933" s="141">
        <f>IF(C931+C932&gt;0,1,0)</f>
        <v>0</v>
      </c>
      <c r="D933" s="141">
        <f>IF(D931&gt;0,1,0)</f>
        <v>0</v>
      </c>
      <c r="E933" s="141">
        <f>IF(E932&gt;0,1,0)</f>
        <v>0</v>
      </c>
      <c r="F933" s="141">
        <f>IF(F932&gt;0,1,0)</f>
        <v>0</v>
      </c>
      <c r="G933" s="141">
        <f>IF(G932&gt;0,1,0)</f>
        <v>0</v>
      </c>
      <c r="H933" s="306">
        <f>ROUND(H930*B931,2)</f>
        <v>0</v>
      </c>
      <c r="I933" s="307">
        <f>ROUND(I930*C931,2)</f>
        <v>0</v>
      </c>
      <c r="J933" s="307">
        <f>ROUND(J930*D931,2)</f>
        <v>0</v>
      </c>
      <c r="K933" s="244" t="s">
        <v>209</v>
      </c>
      <c r="L933" s="307">
        <f>IF(S924&gt;=ROUND(L930*F932,2),ROUND(L930*F932,2),S924)</f>
        <v>0</v>
      </c>
      <c r="M933" s="687" t="s">
        <v>218</v>
      </c>
      <c r="N933" s="688"/>
      <c r="O933" s="689" t="s">
        <v>219</v>
      </c>
      <c r="P933" s="308">
        <f>IF(P934&gt;0,1,0)</f>
        <v>0</v>
      </c>
      <c r="Q933" s="309" t="s">
        <v>220</v>
      </c>
      <c r="R933" s="310">
        <f>IF(B910=G910,H911+I911+J911+L911+O911+R911+IF(K911&gt;0,ROUND((K911/K909),2),0),0)+IF(B910&lt;G910,IF(B910&gt;0,ROUND((((H911+J911)/B910)*(G910-B923)),2)+IF(K911&gt;0,ROUND((K911/K909),2),0)+I911+L911+O911+R911,0),0)</f>
        <v>0</v>
      </c>
      <c r="S933" s="235">
        <f>IF(S925-S926&lt;0,S926-S925,0)</f>
        <v>0</v>
      </c>
      <c r="T933" s="289"/>
      <c r="U933" s="278"/>
    </row>
    <row r="934" spans="1:22" ht="63" customHeight="1" thickBot="1" thickTop="1">
      <c r="A934" s="568"/>
      <c r="B934" s="311" t="s">
        <v>221</v>
      </c>
      <c r="C934" s="311" t="s">
        <v>222</v>
      </c>
      <c r="D934" s="311" t="s">
        <v>34</v>
      </c>
      <c r="E934" s="146" t="s">
        <v>223</v>
      </c>
      <c r="F934" s="312" t="s">
        <v>224</v>
      </c>
      <c r="G934" s="139">
        <f>IF(Q930&gt;Q924,Q930-Q924,0)</f>
        <v>0</v>
      </c>
      <c r="H934" s="313" t="s">
        <v>225</v>
      </c>
      <c r="I934" s="314" t="s">
        <v>225</v>
      </c>
      <c r="J934" s="298" t="s">
        <v>209</v>
      </c>
      <c r="K934" s="315" t="s">
        <v>225</v>
      </c>
      <c r="L934" s="316" t="s">
        <v>226</v>
      </c>
      <c r="M934" s="317" t="s">
        <v>227</v>
      </c>
      <c r="N934" s="318" t="s">
        <v>228</v>
      </c>
      <c r="O934" s="690"/>
      <c r="P934" s="319">
        <f>ROUND(N$2*H930,2)</f>
        <v>0</v>
      </c>
      <c r="Q934" s="320">
        <f>IF(D925&gt;0,$U$2,0)</f>
        <v>0</v>
      </c>
      <c r="R934" s="321" t="s">
        <v>229</v>
      </c>
      <c r="S934" s="322" t="s">
        <v>230</v>
      </c>
      <c r="T934" s="691" t="s">
        <v>231</v>
      </c>
      <c r="U934" s="702"/>
      <c r="V934" s="323">
        <f>IF(ISBLANK(AM906),0,IF(IF(AF921&gt;=AI$2,AI$2,AF921)&gt;0,IF(AF921&gt;=AI$2,AI$2,AF921),0))</f>
        <v>0</v>
      </c>
    </row>
    <row r="935" spans="1:22" ht="42" customHeight="1" thickBot="1" thickTop="1">
      <c r="A935" s="570"/>
      <c r="B935" s="324">
        <f>IF(ISBLANK(T907),0,1)</f>
        <v>0</v>
      </c>
      <c r="C935" s="324">
        <f>IF(ISBLANK(T907),0,IF(IF(M922&gt;=P$2,P$2,M922)&gt;0,IF(M922&gt;=P$2,P$2,M922),0))</f>
        <v>0</v>
      </c>
      <c r="D935" s="324">
        <f>IF(ISBLANK(T907),0,S$1)</f>
        <v>0</v>
      </c>
      <c r="E935" s="325">
        <f>IF(G910&gt;0,$N$3,0)</f>
        <v>0</v>
      </c>
      <c r="F935" s="326">
        <f>O930+O932+P931+P934+L933+S928</f>
        <v>0</v>
      </c>
      <c r="G935" s="327">
        <f>IF(G934&gt;0,1,0)</f>
        <v>0</v>
      </c>
      <c r="H935" s="328">
        <f>ROUND(H930*B931,2)</f>
        <v>0</v>
      </c>
      <c r="I935" s="329">
        <f>ROUND(I930*C932,2)</f>
        <v>0</v>
      </c>
      <c r="J935" s="182" t="s">
        <v>209</v>
      </c>
      <c r="K935" s="330">
        <f>ROUND(K930*E932,2)</f>
        <v>0</v>
      </c>
      <c r="L935" s="185">
        <f>IF(S924&gt;=ROUND((H930-O917-P935+H917+I917)*$R$3,2),ROUND((H930-O917-P935+H917+I917)*$R$3,2),S924)</f>
        <v>0</v>
      </c>
      <c r="M935" s="179">
        <f>O930+O932</f>
        <v>0</v>
      </c>
      <c r="N935" s="331">
        <f>M935+L933</f>
        <v>0</v>
      </c>
      <c r="O935" s="332">
        <f>SUM(M932:N932)</f>
        <v>0</v>
      </c>
      <c r="P935" s="333">
        <f>ROUND(Q907*B931,2)+ROUND(Q907*C931,2)+ROUND(Q907*D931,2)</f>
        <v>0</v>
      </c>
      <c r="Q935" s="334">
        <f>IF(D925&gt;0,ROUND(($U$2*J$2),2),0)</f>
        <v>0</v>
      </c>
      <c r="R935" s="335">
        <f>IF(B910&gt;=G910/2,IF(B910=G910,H911+I911+J911+L911+O911+P911+R911+IF(K911&gt;0,ROUND((K911/K909),2),0),ROUND((((H911+J911+L911)/B910)*(G910-B923)),2)+IF(K911&gt;0,ROUND((K911/K909),2),0)+I911+O911+P911+R911),0)</f>
        <v>0</v>
      </c>
      <c r="S935" s="336">
        <f>IF(P906-O930-S928-L933&gt;0,P906-O930-S928-L933,0)</f>
        <v>0</v>
      </c>
      <c r="T935" s="693" t="s">
        <v>232</v>
      </c>
      <c r="U935" s="703"/>
      <c r="V935" s="323">
        <f>IF(ISBLANK(AM907),0,IF(IF(AF922&gt;=AJ$2,AJ$2,AF922)&gt;0,IF(AF922&gt;=AJ$2,AJ$2,AF922),0))</f>
        <v>0</v>
      </c>
    </row>
    <row r="936" ht="24" customHeight="1" thickTop="1"/>
    <row r="937" spans="1:23" ht="33" customHeight="1" thickBot="1">
      <c r="A937" s="111" t="s">
        <v>72</v>
      </c>
      <c r="B937" s="112" t="s">
        <v>73</v>
      </c>
      <c r="C937" s="113"/>
      <c r="D937" s="113"/>
      <c r="E937" s="114"/>
      <c r="F937" s="553" t="s">
        <v>74</v>
      </c>
      <c r="G937" s="555" t="s">
        <v>75</v>
      </c>
      <c r="H937" s="557" t="s">
        <v>76</v>
      </c>
      <c r="I937" s="557"/>
      <c r="J937" s="558"/>
      <c r="K937" s="559"/>
      <c r="L937" s="560"/>
      <c r="M937" s="560"/>
      <c r="N937" s="560"/>
      <c r="O937" s="561"/>
      <c r="P937" s="559"/>
      <c r="Q937" s="560"/>
      <c r="R937" s="560"/>
      <c r="S937" s="560"/>
      <c r="T937" s="565" t="s">
        <v>77</v>
      </c>
      <c r="U937" s="566"/>
      <c r="V937" s="102"/>
      <c r="W937" s="115"/>
    </row>
    <row r="938" spans="1:23" ht="44.25" customHeight="1" thickBot="1" thickTop="1">
      <c r="A938" s="567">
        <f>A906+1</f>
        <v>30</v>
      </c>
      <c r="B938" s="571" t="s">
        <v>79</v>
      </c>
      <c r="C938" s="571" t="s">
        <v>80</v>
      </c>
      <c r="D938" s="573" t="s">
        <v>81</v>
      </c>
      <c r="E938" s="573"/>
      <c r="F938" s="554"/>
      <c r="G938" s="556"/>
      <c r="H938" s="574" t="s">
        <v>82</v>
      </c>
      <c r="I938" s="574"/>
      <c r="J938" s="574"/>
      <c r="K938" s="574"/>
      <c r="L938" s="575">
        <f>P938+S944</f>
        <v>0</v>
      </c>
      <c r="M938" s="576"/>
      <c r="N938" s="577" t="s">
        <v>83</v>
      </c>
      <c r="O938" s="578"/>
      <c r="P938" s="575">
        <f>Q939+M944</f>
        <v>0</v>
      </c>
      <c r="Q938" s="576"/>
      <c r="R938" s="119"/>
      <c r="S938" s="120"/>
      <c r="T938" s="121"/>
      <c r="U938" s="122"/>
      <c r="V938" s="102"/>
      <c r="W938" s="115"/>
    </row>
    <row r="939" spans="1:23" ht="36.75" customHeight="1">
      <c r="A939" s="568"/>
      <c r="B939" s="572"/>
      <c r="C939" s="572"/>
      <c r="D939" s="124" t="s">
        <v>85</v>
      </c>
      <c r="E939" s="124" t="s">
        <v>86</v>
      </c>
      <c r="F939" s="554"/>
      <c r="G939" s="556"/>
      <c r="H939" s="562" t="s">
        <v>87</v>
      </c>
      <c r="I939" s="563"/>
      <c r="J939" s="563"/>
      <c r="K939" s="563"/>
      <c r="L939" s="563"/>
      <c r="M939" s="563"/>
      <c r="N939" s="563"/>
      <c r="O939" s="563"/>
      <c r="P939" s="564"/>
      <c r="Q939" s="579">
        <f>SUM(H943:S943)</f>
        <v>0</v>
      </c>
      <c r="R939" s="580"/>
      <c r="S939" s="125"/>
      <c r="T939" s="581"/>
      <c r="U939" s="582"/>
      <c r="V939" s="102"/>
      <c r="W939" s="115"/>
    </row>
    <row r="940" spans="1:23" ht="38.25" customHeight="1">
      <c r="A940" s="568"/>
      <c r="B940" s="572"/>
      <c r="C940" s="126"/>
      <c r="D940" s="124" t="s">
        <v>89</v>
      </c>
      <c r="E940" s="124" t="s">
        <v>89</v>
      </c>
      <c r="F940" s="554"/>
      <c r="G940" s="127"/>
      <c r="H940" s="128" t="s">
        <v>90</v>
      </c>
      <c r="I940" s="129" t="s">
        <v>91</v>
      </c>
      <c r="J940" s="129" t="s">
        <v>92</v>
      </c>
      <c r="K940" s="130" t="s">
        <v>93</v>
      </c>
      <c r="L940" s="583" t="s">
        <v>94</v>
      </c>
      <c r="M940" s="583" t="s">
        <v>95</v>
      </c>
      <c r="N940" s="583" t="s">
        <v>96</v>
      </c>
      <c r="O940" s="585" t="s">
        <v>97</v>
      </c>
      <c r="P940" s="583" t="s">
        <v>98</v>
      </c>
      <c r="Q940" s="587" t="s">
        <v>99</v>
      </c>
      <c r="R940" s="589" t="s">
        <v>100</v>
      </c>
      <c r="S940" s="591" t="s">
        <v>101</v>
      </c>
      <c r="T940" s="581"/>
      <c r="U940" s="582"/>
      <c r="V940" s="102"/>
      <c r="W940" s="115"/>
    </row>
    <row r="941" spans="1:23" ht="30" customHeight="1">
      <c r="A941" s="568"/>
      <c r="B941" s="572"/>
      <c r="C941" s="131"/>
      <c r="D941" s="131"/>
      <c r="E941" s="131"/>
      <c r="F941" s="554"/>
      <c r="G941" s="127"/>
      <c r="H941" s="132" t="s">
        <v>103</v>
      </c>
      <c r="I941" s="133" t="s">
        <v>104</v>
      </c>
      <c r="J941" s="134">
        <v>0</v>
      </c>
      <c r="K941" s="135">
        <v>1</v>
      </c>
      <c r="L941" s="584"/>
      <c r="M941" s="584"/>
      <c r="N941" s="584"/>
      <c r="O941" s="586"/>
      <c r="P941" s="584"/>
      <c r="Q941" s="588"/>
      <c r="R941" s="590"/>
      <c r="S941" s="592"/>
      <c r="T941" s="581"/>
      <c r="U941" s="582"/>
      <c r="V941" s="102"/>
      <c r="W941" s="115"/>
    </row>
    <row r="942" spans="1:21" ht="51" customHeight="1">
      <c r="A942" s="568"/>
      <c r="B942" s="137">
        <f>G942</f>
        <v>0</v>
      </c>
      <c r="C942" s="137"/>
      <c r="D942" s="137"/>
      <c r="E942" s="138"/>
      <c r="F942" s="138"/>
      <c r="G942" s="139">
        <f>B$1*B967</f>
        <v>0</v>
      </c>
      <c r="H942" s="140">
        <f aca="true" t="shared" si="87" ref="H942:S942">IF(H943&gt;0,1,0)</f>
        <v>0</v>
      </c>
      <c r="I942" s="141">
        <f t="shared" si="87"/>
        <v>0</v>
      </c>
      <c r="J942" s="141">
        <f t="shared" si="87"/>
        <v>0</v>
      </c>
      <c r="K942" s="142">
        <f t="shared" si="87"/>
        <v>0</v>
      </c>
      <c r="L942" s="142">
        <f t="shared" si="87"/>
        <v>0</v>
      </c>
      <c r="M942" s="142">
        <f t="shared" si="87"/>
        <v>0</v>
      </c>
      <c r="N942" s="142">
        <f t="shared" si="87"/>
        <v>0</v>
      </c>
      <c r="O942" s="141">
        <f t="shared" si="87"/>
        <v>0</v>
      </c>
      <c r="P942" s="142">
        <f t="shared" si="87"/>
        <v>0</v>
      </c>
      <c r="Q942" s="142">
        <f t="shared" si="87"/>
        <v>0</v>
      </c>
      <c r="R942" s="143">
        <f t="shared" si="87"/>
        <v>0</v>
      </c>
      <c r="S942" s="144">
        <f t="shared" si="87"/>
        <v>0</v>
      </c>
      <c r="T942" s="593"/>
      <c r="U942" s="594"/>
    </row>
    <row r="943" spans="1:22" ht="49.5" customHeight="1" thickBot="1">
      <c r="A943" s="568"/>
      <c r="B943" s="595" t="s">
        <v>106</v>
      </c>
      <c r="C943" s="595" t="s">
        <v>107</v>
      </c>
      <c r="D943" s="596" t="s">
        <v>108</v>
      </c>
      <c r="E943" s="148" t="s">
        <v>109</v>
      </c>
      <c r="F943" s="149"/>
      <c r="G943" s="597" t="s">
        <v>110</v>
      </c>
      <c r="H943" s="150">
        <f>IF(B942+B946+B953+B955+C952+D946+F943&gt;0,IF(B958&gt;0,B958-(IF(E946+F946+G946+B950+C950+D950+E950+F950&gt;0,ROUND((B958/30)*IF(E946+F946+G946+B950+C950+D950+E950+F950&lt;31,E946+F946+G946+B950+C950+D950+E950+F950,30),2),0)+ROUND(((B958/G942)*(B946+B953+B955+C952+D946)),2)),0),0)+IF(B942&gt;G942,IF(B958&gt;0,(B942-G942)*B960,0),0)+IF(B959&gt;0,B959*B942,0)-IF(IF(B942+B946+B953+B955+C952+D946+F943&gt;0,IF(B958&gt;0,B958-(IF(E946+F946+G946+B950+C950+D950+E950+F950&gt;0,ROUND((B958/30)*IF(E946+F946+G946+B950+C950+D950+E950+F950&lt;31,E946+F946+G946+B950+C950+D950+E950+F950,30),2),0)+ROUND(((B958/G942)*(B946+B953+B955+C952+D946)),2)),0),0)&lt;0,IF(B942+B946+B953+B955+C952+D946+F943&gt;0,IF(B958&gt;0,B958-(IF(E946+F946+G946+B950+C950+D950+E950+F950&gt;0,ROUND((B958/30)*IF(E946+F946+G946+B950+C950+D950+E950+F950&lt;31,E946+F946+G946+B950+C950+D950+E950+F950,30),2),0)+ROUND(((B958/G942)*(B946+B953+B955+C952+D946)),2)),0),0),0)</f>
        <v>0</v>
      </c>
      <c r="I943" s="151">
        <f>ROUND(D942*ROUND(B960*150%,2)+E942*ROUND(B960*200%,2),2)</f>
        <v>0</v>
      </c>
      <c r="J943" s="151">
        <f>ROUND((J941*H943),2)</f>
        <v>0</v>
      </c>
      <c r="K943" s="151"/>
      <c r="L943" s="151">
        <f>IF(C942&gt;0,C942*ROUND(B960*U$3,2),0)+IF(U$3=0,IF(C942&gt;0,C942*ROUND(20%*ROUND(E$1/G942,2),2),0))</f>
        <v>0</v>
      </c>
      <c r="M943" s="151">
        <f>IF(B946&gt;0,ROUND((B946*C955),2),0)</f>
        <v>0</v>
      </c>
      <c r="N943" s="151">
        <f>IF(B942+D942+E942+F942&gt;0,ROUND((((H943+I943+J943+L943+O943)/(B942+D942+E942+F942))*D946),2),B960*D946)</f>
        <v>0</v>
      </c>
      <c r="O943" s="151">
        <f>ROUND((F942*B960),2)</f>
        <v>0</v>
      </c>
      <c r="P943" s="151">
        <f>IF(C946&gt;0,ROUND((D955/($I$1*8*B967)),2)*C946,0)</f>
        <v>0</v>
      </c>
      <c r="Q943" s="151"/>
      <c r="R943" s="152"/>
      <c r="S943" s="153">
        <f>IF(G960&gt;500,G960-500,0)+IF(F960&gt;190,F960-190,0)</f>
        <v>0</v>
      </c>
      <c r="T943" s="593"/>
      <c r="U943" s="594"/>
      <c r="V943" s="154"/>
    </row>
    <row r="944" spans="1:21" ht="57" customHeight="1">
      <c r="A944" s="568"/>
      <c r="B944" s="554"/>
      <c r="C944" s="554"/>
      <c r="D944" s="554"/>
      <c r="E944" s="599" t="s">
        <v>112</v>
      </c>
      <c r="F944" s="599"/>
      <c r="G944" s="598"/>
      <c r="H944" s="600" t="s">
        <v>113</v>
      </c>
      <c r="I944" s="601"/>
      <c r="J944" s="601"/>
      <c r="K944" s="601"/>
      <c r="L944" s="601"/>
      <c r="M944" s="602">
        <f>H949+I949+M945</f>
        <v>0</v>
      </c>
      <c r="N944" s="603"/>
      <c r="O944" s="604" t="s">
        <v>114</v>
      </c>
      <c r="P944" s="604"/>
      <c r="Q944" s="604"/>
      <c r="R944" s="604"/>
      <c r="S944" s="156">
        <f>S945+O949</f>
        <v>0</v>
      </c>
      <c r="T944" s="605"/>
      <c r="U944" s="606"/>
    </row>
    <row r="945" spans="1:21" ht="38.25" customHeight="1">
      <c r="A945" s="568"/>
      <c r="B945" s="157"/>
      <c r="C945" s="131"/>
      <c r="D945" s="131"/>
      <c r="E945" s="158">
        <v>0.8</v>
      </c>
      <c r="F945" s="158">
        <v>1</v>
      </c>
      <c r="G945" s="159">
        <v>0.8</v>
      </c>
      <c r="H945" s="607" t="s">
        <v>115</v>
      </c>
      <c r="I945" s="608"/>
      <c r="J945" s="609" t="s">
        <v>116</v>
      </c>
      <c r="K945" s="610"/>
      <c r="L945" s="610"/>
      <c r="M945" s="611">
        <f>SUM(J949:N949)</f>
        <v>0</v>
      </c>
      <c r="N945" s="612"/>
      <c r="O945" s="160" t="s">
        <v>117</v>
      </c>
      <c r="P945" s="613" t="s">
        <v>118</v>
      </c>
      <c r="Q945" s="614"/>
      <c r="R945" s="615"/>
      <c r="S945" s="161">
        <f>SUM(P949:S949)</f>
        <v>0</v>
      </c>
      <c r="T945" s="616"/>
      <c r="U945" s="617"/>
    </row>
    <row r="946" spans="1:21" ht="40.5" customHeight="1">
      <c r="A946" s="568"/>
      <c r="B946" s="137"/>
      <c r="C946" s="137"/>
      <c r="D946" s="137"/>
      <c r="E946" s="137"/>
      <c r="F946" s="137"/>
      <c r="G946" s="139"/>
      <c r="H946" s="618" t="s">
        <v>119</v>
      </c>
      <c r="I946" s="162"/>
      <c r="J946" s="620" t="s">
        <v>120</v>
      </c>
      <c r="K946" s="595" t="s">
        <v>121</v>
      </c>
      <c r="L946" s="595" t="s">
        <v>122</v>
      </c>
      <c r="M946" s="595" t="s">
        <v>123</v>
      </c>
      <c r="N946" s="163" t="s">
        <v>124</v>
      </c>
      <c r="O946" s="622" t="s">
        <v>125</v>
      </c>
      <c r="P946" s="624" t="s">
        <v>126</v>
      </c>
      <c r="Q946" s="584" t="s">
        <v>127</v>
      </c>
      <c r="R946" s="634" t="s">
        <v>128</v>
      </c>
      <c r="S946" s="633" t="s">
        <v>129</v>
      </c>
      <c r="T946" s="164"/>
      <c r="U946" s="165"/>
    </row>
    <row r="947" spans="1:21" ht="39.75" customHeight="1">
      <c r="A947" s="568"/>
      <c r="B947" s="571" t="s">
        <v>110</v>
      </c>
      <c r="C947" s="571" t="s">
        <v>130</v>
      </c>
      <c r="D947" s="571" t="s">
        <v>131</v>
      </c>
      <c r="E947" s="571" t="s">
        <v>132</v>
      </c>
      <c r="F947" s="571" t="s">
        <v>110</v>
      </c>
      <c r="G947" s="166" t="s">
        <v>133</v>
      </c>
      <c r="H947" s="619"/>
      <c r="I947" s="167"/>
      <c r="J947" s="621"/>
      <c r="K947" s="554"/>
      <c r="L947" s="554"/>
      <c r="M947" s="554"/>
      <c r="N947" s="168" t="s">
        <v>134</v>
      </c>
      <c r="O947" s="623"/>
      <c r="P947" s="624"/>
      <c r="Q947" s="584"/>
      <c r="R947" s="634"/>
      <c r="S947" s="633"/>
      <c r="T947" s="627">
        <f>I959-S960-P959</f>
        <v>0</v>
      </c>
      <c r="U947" s="628"/>
    </row>
    <row r="948" spans="1:21" ht="35.25" customHeight="1">
      <c r="A948" s="568"/>
      <c r="B948" s="572"/>
      <c r="C948" s="572"/>
      <c r="D948" s="572"/>
      <c r="E948" s="572"/>
      <c r="F948" s="572"/>
      <c r="G948" s="139"/>
      <c r="H948" s="169">
        <f aca="true" t="shared" si="88" ref="H948:M948">IF(H949&gt;0,1,0)</f>
        <v>0</v>
      </c>
      <c r="I948" s="170">
        <f t="shared" si="88"/>
        <v>0</v>
      </c>
      <c r="J948" s="171">
        <f t="shared" si="88"/>
        <v>0</v>
      </c>
      <c r="K948" s="172">
        <f t="shared" si="88"/>
        <v>0</v>
      </c>
      <c r="L948" s="173">
        <f t="shared" si="88"/>
        <v>0</v>
      </c>
      <c r="M948" s="173">
        <f t="shared" si="88"/>
        <v>0</v>
      </c>
      <c r="N948" s="174">
        <v>0</v>
      </c>
      <c r="O948" s="175">
        <f>IF(O949&gt;0,1,0)</f>
        <v>0</v>
      </c>
      <c r="P948" s="171">
        <f>IF(P949&gt;0,1,0)</f>
        <v>0</v>
      </c>
      <c r="Q948" s="173">
        <f>IF(Q949&gt;0,1,0)</f>
        <v>0</v>
      </c>
      <c r="R948" s="173">
        <f>IF(R949&gt;0,1,0)</f>
        <v>0</v>
      </c>
      <c r="S948" s="176">
        <f>IF(S949&gt;0,1,0)</f>
        <v>0</v>
      </c>
      <c r="T948" s="627"/>
      <c r="U948" s="628"/>
    </row>
    <row r="949" spans="1:21" ht="36" customHeight="1" thickBot="1">
      <c r="A949" s="568"/>
      <c r="B949" s="177">
        <v>1</v>
      </c>
      <c r="C949" s="177">
        <v>0.8</v>
      </c>
      <c r="D949" s="572"/>
      <c r="E949" s="572"/>
      <c r="F949" s="177">
        <v>0.7</v>
      </c>
      <c r="G949" s="178">
        <v>0</v>
      </c>
      <c r="H949" s="179">
        <f>IF(E946&gt;0,ROUND((C960*E945),2)*E946,0)+IF(F946&gt;0,C960*F946,0)</f>
        <v>0</v>
      </c>
      <c r="I949" s="180"/>
      <c r="J949" s="181">
        <f>IF(G942&gt;0,IF(B942&gt;=G942,E955-((E955/22)*F955),(E955-(ROUND(((E955/22)*(((G942-B942)/8*B967)+F955)),2))))-IF(B942=0,0,0)-IF(B942&lt;=F955*8*B967,E955-ROUND(((E955/22)*(((G942-B942)/8*B967)+F955)),2),0),0)</f>
        <v>0</v>
      </c>
      <c r="K949" s="182">
        <f>G958-R949</f>
        <v>0</v>
      </c>
      <c r="L949" s="182">
        <f>IF(F960&gt;0,IF(F960&lt;190,F960,190),0)</f>
        <v>0</v>
      </c>
      <c r="M949" s="182"/>
      <c r="N949" s="183">
        <f>IF(N948&gt;0,L$3*B967*N948,0)</f>
        <v>0</v>
      </c>
      <c r="O949" s="184">
        <f>IF(C967&lt;=$P$2,IF(G960&gt;0,IF(G960&lt;500,G960,500),0),0)</f>
        <v>0</v>
      </c>
      <c r="P949" s="181">
        <f>IF(G955&gt;0,ROUND(((G955/G942)*B942),2),0)+G954</f>
        <v>0</v>
      </c>
      <c r="Q949" s="182">
        <f>IF(F953&gt;0,ROUND((F953/G942)*B942,2),0)</f>
        <v>0</v>
      </c>
      <c r="R949" s="182">
        <f>IF(G958&gt;0,IF(G958&lt;380,G958,380),0)</f>
        <v>0</v>
      </c>
      <c r="S949" s="185"/>
      <c r="T949" s="627"/>
      <c r="U949" s="628"/>
    </row>
    <row r="950" spans="1:21" ht="60" customHeight="1" thickBot="1" thickTop="1">
      <c r="A950" s="568"/>
      <c r="B950" s="137"/>
      <c r="C950" s="137"/>
      <c r="D950" s="137"/>
      <c r="E950" s="137"/>
      <c r="F950" s="137"/>
      <c r="G950" s="139">
        <f>IF(L938+L951-Q949-P949-K959-J949&gt;$F$1,IF(G949&gt;0,IF(((H959-S960-L965-L959-J949-K949-L949-O962+P967)*(100%-G949))&gt;=(($F$1*B967)-IF(ROUND(((ROUND(($F$1-C967),0.1)*E967)-D967),0.1)&gt;0,ROUND(((ROUND(($F$1-C967),0.1)*E967)-D967),0.1),0)),((H959-S960-L965-L959-J949-K949-L949-O962+P967)*G949)))+IF(G949&gt;0,IF(((H959-S960-L965-L959-J949-K949-L949-O962+P967)*(100%-G949))&lt;(($F$1*B967)-IF(ROUND(((ROUND(($F$1-C967),0.1)*E967)-D967),0.1)&gt;0,ROUND(((ROUND(($F$1-C967),0.1)*E967)-D967),0.1),0)),(H959-S960-L965-L959-J949-K949-L949-O962+P967)-(($F$1*B967)-IF(ROUND(((ROUND(($F$1-C967),0.1)*E967)-D967),0.1)&gt;0,ROUND(((ROUND(($F$1-C967),0.1)*E967)-D967),0.1),0)))),0)</f>
        <v>0</v>
      </c>
      <c r="H950" s="629" t="s">
        <v>135</v>
      </c>
      <c r="I950" s="630"/>
      <c r="J950" s="630"/>
      <c r="K950" s="575">
        <f>L951+P950</f>
        <v>0</v>
      </c>
      <c r="L950" s="576"/>
      <c r="M950" s="631" t="s">
        <v>136</v>
      </c>
      <c r="N950" s="632"/>
      <c r="O950" s="632"/>
      <c r="P950" s="575">
        <f>P951+S951</f>
        <v>0</v>
      </c>
      <c r="Q950" s="575"/>
      <c r="R950" s="186"/>
      <c r="S950" s="186"/>
      <c r="T950" s="187">
        <v>200</v>
      </c>
      <c r="U950" s="188">
        <f>ROUND(((1400/'[1]Li-pł zlec'!$V$1)*'[1]LI-PŁ-prac'!T950),2)+((H949+L951)-ROUND(((H949+L951)*$N$3),2))+O952+P952+P954+R954+S954-O959-L959-M959</f>
        <v>1750</v>
      </c>
    </row>
    <row r="951" spans="1:21" ht="119.25" customHeight="1">
      <c r="A951" s="568"/>
      <c r="B951" s="189" t="s">
        <v>137</v>
      </c>
      <c r="C951" s="190" t="s">
        <v>138</v>
      </c>
      <c r="D951" s="595" t="s">
        <v>139</v>
      </c>
      <c r="E951" s="649" t="s">
        <v>307</v>
      </c>
      <c r="F951" s="191" t="s">
        <v>140</v>
      </c>
      <c r="G951" s="192" t="s">
        <v>141</v>
      </c>
      <c r="H951" s="651" t="s">
        <v>142</v>
      </c>
      <c r="I951" s="652"/>
      <c r="J951" s="652"/>
      <c r="K951" s="652"/>
      <c r="L951" s="193">
        <f>SUM(H954:L954)</f>
        <v>0</v>
      </c>
      <c r="M951" s="625"/>
      <c r="N951" s="626"/>
      <c r="O951" s="626"/>
      <c r="P951" s="193"/>
      <c r="Q951" s="635"/>
      <c r="R951" s="636"/>
      <c r="S951" s="194"/>
      <c r="T951" s="637"/>
      <c r="U951" s="638"/>
    </row>
    <row r="952" spans="1:21" ht="141" customHeight="1" thickBot="1">
      <c r="A952" s="568"/>
      <c r="B952" s="195" t="s">
        <v>143</v>
      </c>
      <c r="C952" s="196"/>
      <c r="D952" s="554"/>
      <c r="E952" s="650"/>
      <c r="F952" s="197">
        <f>IF(F953&gt;0,1,0)</f>
        <v>0</v>
      </c>
      <c r="G952" s="155" t="s">
        <v>308</v>
      </c>
      <c r="H952" s="198" t="s">
        <v>144</v>
      </c>
      <c r="I952" s="199" t="s">
        <v>145</v>
      </c>
      <c r="J952" s="199" t="s">
        <v>146</v>
      </c>
      <c r="K952" s="199" t="s">
        <v>147</v>
      </c>
      <c r="L952" s="200" t="s">
        <v>148</v>
      </c>
      <c r="M952" s="201"/>
      <c r="N952" s="202"/>
      <c r="O952" s="203"/>
      <c r="P952" s="204"/>
      <c r="Q952" s="205"/>
      <c r="R952" s="206"/>
      <c r="S952" s="207"/>
      <c r="T952" s="637"/>
      <c r="U952" s="638"/>
    </row>
    <row r="953" spans="1:21" ht="51.75" customHeight="1">
      <c r="A953" s="568"/>
      <c r="B953" s="208"/>
      <c r="C953" s="595" t="s">
        <v>149</v>
      </c>
      <c r="D953" s="554"/>
      <c r="E953" s="209"/>
      <c r="F953" s="210">
        <f>IF(T939&gt;0,$H$3,0)</f>
        <v>0</v>
      </c>
      <c r="G953" s="211">
        <f>IF(G954+G955&gt;0,1,0)</f>
        <v>0</v>
      </c>
      <c r="H953" s="212">
        <f>IF(H954&gt;0,1,0)</f>
        <v>0</v>
      </c>
      <c r="I953" s="213">
        <f>IF(I954&gt;0,1,0)</f>
        <v>0</v>
      </c>
      <c r="J953" s="213">
        <f>IF(J954&gt;0,1,0)</f>
        <v>0</v>
      </c>
      <c r="K953" s="213">
        <f>IF(K954&gt;0,1,0)</f>
        <v>0</v>
      </c>
      <c r="L953" s="214">
        <f>IF(L954&gt;0,1,0)</f>
        <v>0</v>
      </c>
      <c r="M953" s="639" t="s">
        <v>150</v>
      </c>
      <c r="N953" s="640"/>
      <c r="O953" s="641"/>
      <c r="P953" s="642"/>
      <c r="Q953" s="215"/>
      <c r="R953" s="216"/>
      <c r="S953" s="217"/>
      <c r="T953" s="643"/>
      <c r="U953" s="644"/>
    </row>
    <row r="954" spans="1:21" ht="60.75" customHeight="1" thickBot="1">
      <c r="A954" s="568"/>
      <c r="B954" s="218" t="s">
        <v>151</v>
      </c>
      <c r="C954" s="554"/>
      <c r="D954" s="131"/>
      <c r="E954" s="219">
        <f>IF(E953&gt;0,C$3,0)</f>
        <v>0</v>
      </c>
      <c r="F954" s="220" t="s">
        <v>152</v>
      </c>
      <c r="G954" s="221"/>
      <c r="H954" s="179">
        <f>IF(G946&gt;0,(ROUND((C960*G945),2)*G946),0)+IF(B950&gt;0,(ROUND((C960*B949),2)*B950),0)+IF(F950&gt;0,(ROUND((C960*F949),2)*F950),0)</f>
        <v>0</v>
      </c>
      <c r="I954" s="182">
        <f>IF(E950&gt;0,(ROUND(((D960*D959)/30),2)*E950),0)</f>
        <v>0</v>
      </c>
      <c r="J954" s="182">
        <f>IF(C950&gt;0,(ROUND(C960*C949,2)*C950),0)</f>
        <v>0</v>
      </c>
      <c r="K954" s="182">
        <f>IF(D950&gt;0,(ROUND(C960,2)*D950),0)</f>
        <v>0</v>
      </c>
      <c r="L954" s="222">
        <f>E960</f>
        <v>0</v>
      </c>
      <c r="M954" s="645">
        <f>Q939+M944+L951</f>
        <v>0</v>
      </c>
      <c r="N954" s="646"/>
      <c r="O954" s="202"/>
      <c r="P954" s="223"/>
      <c r="Q954" s="224"/>
      <c r="R954" s="182"/>
      <c r="S954" s="185"/>
      <c r="T954" s="695" t="s">
        <v>153</v>
      </c>
      <c r="U954" s="696"/>
    </row>
    <row r="955" spans="1:21" ht="41.25" customHeight="1" thickTop="1">
      <c r="A955" s="568"/>
      <c r="B955" s="208"/>
      <c r="C955" s="208"/>
      <c r="D955" s="208"/>
      <c r="E955" s="203">
        <f>ROUND((E953*E954),2)</f>
        <v>0</v>
      </c>
      <c r="F955" s="225"/>
      <c r="G955" s="226"/>
      <c r="H955" s="653" t="s">
        <v>309</v>
      </c>
      <c r="I955" s="655" t="s">
        <v>154</v>
      </c>
      <c r="J955" s="657" t="s">
        <v>155</v>
      </c>
      <c r="K955" s="660" t="s">
        <v>156</v>
      </c>
      <c r="L955" s="661" t="s">
        <v>157</v>
      </c>
      <c r="M955" s="661"/>
      <c r="N955" s="661"/>
      <c r="O955" s="662"/>
      <c r="P955" s="663" t="s">
        <v>158</v>
      </c>
      <c r="Q955" s="227" t="s">
        <v>159</v>
      </c>
      <c r="R955" s="228" t="s">
        <v>160</v>
      </c>
      <c r="S955" s="229" t="s">
        <v>161</v>
      </c>
      <c r="T955" s="695" t="s">
        <v>162</v>
      </c>
      <c r="U955" s="696"/>
    </row>
    <row r="956" spans="1:21" ht="92.25" customHeight="1">
      <c r="A956" s="568"/>
      <c r="B956" s="664" t="s">
        <v>163</v>
      </c>
      <c r="C956" s="117" t="s">
        <v>164</v>
      </c>
      <c r="D956" s="337" t="s">
        <v>165</v>
      </c>
      <c r="E956" s="146" t="s">
        <v>166</v>
      </c>
      <c r="F956" s="697" t="s">
        <v>167</v>
      </c>
      <c r="G956" s="191" t="s">
        <v>168</v>
      </c>
      <c r="H956" s="654"/>
      <c r="I956" s="656"/>
      <c r="J956" s="658"/>
      <c r="K956" s="584"/>
      <c r="L956" s="232" t="s">
        <v>169</v>
      </c>
      <c r="M956" s="123" t="s">
        <v>170</v>
      </c>
      <c r="N956" s="136" t="s">
        <v>171</v>
      </c>
      <c r="O956" s="136" t="s">
        <v>172</v>
      </c>
      <c r="P956" s="556"/>
      <c r="Q956" s="233">
        <f>ROUND(IF(S961&gt;$N$4,IF(S961&lt;=$O$4,7866.25+((S961-$N$4)*$O$3)),0)+IF(S961&gt;$O$4,20177.65+((S961-$O$4)*$P$3),0)+IF(S961&lt;=$N$4,IF(S961*E967&gt;0,S961*E967),0),0.1)</f>
        <v>0</v>
      </c>
      <c r="R956" s="234">
        <f>IF(L951&gt;0,ROUND((ROUND((L951),0.1)*E967),0.1),0)</f>
        <v>0</v>
      </c>
      <c r="S956" s="235">
        <f>IF(Q956+R956-D967&gt;=0,Q956+R956-D967,0)+IF(D967-Q956+R956&gt;0&lt;D967+0.001,Q956+R956-D967,0)</f>
        <v>0</v>
      </c>
      <c r="T956" s="695" t="s">
        <v>173</v>
      </c>
      <c r="U956" s="696"/>
    </row>
    <row r="957" spans="1:21" ht="36.75" customHeight="1">
      <c r="A957" s="568"/>
      <c r="B957" s="665"/>
      <c r="C957" s="230"/>
      <c r="D957" s="236"/>
      <c r="E957" s="237"/>
      <c r="F957" s="698"/>
      <c r="G957" s="239" t="s">
        <v>310</v>
      </c>
      <c r="H957" s="654"/>
      <c r="I957" s="656"/>
      <c r="J957" s="658"/>
      <c r="K957" s="584"/>
      <c r="L957" s="123"/>
      <c r="M957" s="240"/>
      <c r="N957" s="241"/>
      <c r="O957" s="136"/>
      <c r="P957" s="556"/>
      <c r="Q957" s="668" t="s">
        <v>174</v>
      </c>
      <c r="R957" s="669"/>
      <c r="S957" s="235">
        <f>ROUND(IF(S956&gt;=L967,S956-L967,0),0.1)</f>
        <v>0</v>
      </c>
      <c r="T957" s="338" t="str">
        <f>L$8</f>
        <v>styczeń</v>
      </c>
      <c r="U957" s="339" t="str">
        <f>N$8</f>
        <v>2011 r.</v>
      </c>
    </row>
    <row r="958" spans="1:21" ht="48" customHeight="1">
      <c r="A958" s="568"/>
      <c r="B958" s="244">
        <f>IF(B959=0,IF(T939&gt;0,IF(T944&gt;0,IF(T944="I kl",O$1)+IF(T944="II kl",P$1)+IF(T944="III kl",Q$1),ROUND((E$1*B967),2)),0),0)</f>
        <v>0</v>
      </c>
      <c r="C958" s="118" t="s">
        <v>175</v>
      </c>
      <c r="D958" s="123" t="s">
        <v>176</v>
      </c>
      <c r="E958" s="245"/>
      <c r="F958" s="698"/>
      <c r="G958" s="139"/>
      <c r="H958" s="246">
        <f>IF(H959&gt;0,1,0)</f>
        <v>0</v>
      </c>
      <c r="I958" s="247">
        <f>IF(I959&gt;0,1,0)</f>
        <v>0</v>
      </c>
      <c r="J958" s="658"/>
      <c r="K958" s="248">
        <f aca="true" t="shared" si="89" ref="K958:P958">IF(K959&gt;0,1,0)</f>
        <v>0</v>
      </c>
      <c r="L958" s="249">
        <f t="shared" si="89"/>
        <v>0</v>
      </c>
      <c r="M958" s="250">
        <f t="shared" si="89"/>
        <v>0</v>
      </c>
      <c r="N958" s="249">
        <f t="shared" si="89"/>
        <v>0</v>
      </c>
      <c r="O958" s="251">
        <f t="shared" si="89"/>
        <v>0</v>
      </c>
      <c r="P958" s="252">
        <f t="shared" si="89"/>
        <v>0</v>
      </c>
      <c r="Q958" s="670" t="s">
        <v>177</v>
      </c>
      <c r="R958" s="253" t="s">
        <v>178</v>
      </c>
      <c r="S958" s="235">
        <v>0</v>
      </c>
      <c r="T958" s="647" t="s">
        <v>179</v>
      </c>
      <c r="U958" s="648"/>
    </row>
    <row r="959" spans="1:21" ht="57.75" customHeight="1" thickBot="1">
      <c r="A959" s="568"/>
      <c r="B959" s="254"/>
      <c r="C959" s="230"/>
      <c r="D959" s="177">
        <v>0.9</v>
      </c>
      <c r="E959" s="255">
        <f>IF(E957&gt;0,$U$1-E958,0)</f>
        <v>0</v>
      </c>
      <c r="F959" s="238">
        <f>IF(F960&gt;0,1,0)</f>
        <v>0</v>
      </c>
      <c r="G959" s="256" t="s">
        <v>180</v>
      </c>
      <c r="H959" s="257">
        <f>P938+L951-P967</f>
        <v>0</v>
      </c>
      <c r="I959" s="233">
        <f>L938+K950</f>
        <v>0</v>
      </c>
      <c r="J959" s="659"/>
      <c r="K959" s="244">
        <f>S943+K949+L949+O949+R949+O962+L965-N959</f>
        <v>0</v>
      </c>
      <c r="L959" s="244"/>
      <c r="M959" s="244">
        <f>G948+IF(G950&gt;0,G950,0)</f>
        <v>0</v>
      </c>
      <c r="N959" s="244">
        <f>L965-L967</f>
        <v>0</v>
      </c>
      <c r="O959" s="244"/>
      <c r="P959" s="258">
        <f>SUM(K959:O959)</f>
        <v>0</v>
      </c>
      <c r="Q959" s="671"/>
      <c r="R959" s="259" t="s">
        <v>181</v>
      </c>
      <c r="S959" s="235">
        <v>0</v>
      </c>
      <c r="T959" s="647" t="s">
        <v>182</v>
      </c>
      <c r="U959" s="648"/>
    </row>
    <row r="960" spans="1:21" ht="45.75" customHeight="1" thickBot="1" thickTop="1">
      <c r="A960" s="569"/>
      <c r="B960" s="244">
        <f>IF(B959=0,ROUND(IF(B958&gt;0,CEILING((B958/G942),0.01),B959),2),B959)</f>
        <v>0</v>
      </c>
      <c r="C960" s="244">
        <f>IF(T939&gt;0,(IF(C957&gt;0,ROUND(((C957-(C957*(B963+C963+D963)))/30),2),0)+IF(C959&gt;0,ROUND((C959/30),2),0))+(IF(IF(C957&gt;0,ROUND(((C957-(C957*(B963+C963+D963)))/30),2),0)+IF(C959&gt;0,ROUND((C959/30),2),0)&lt;ROUND((($F$1*B967)/30),2),(IF(C957+C959&gt;0,ROUND((($F$1*B967)/30),2)-(IF(C957&gt;0,ROUND(((C957-(C957*(B963+C963+D963)))/30),2),0)+IF(C959&gt;0,ROUND((C959/30),2),0)))),0)),0)</f>
        <v>0</v>
      </c>
      <c r="D960" s="244"/>
      <c r="E960" s="244">
        <f>IF(E959&gt;0,IF(ROUND(E957-((E957/30)*E958),2)-H962+O962&gt;0,ROUND(E957-((E957/30)*E958),2)-H962+O962,0),0)</f>
        <v>0</v>
      </c>
      <c r="F960" s="137"/>
      <c r="G960" s="139"/>
      <c r="H960" s="672" t="s">
        <v>183</v>
      </c>
      <c r="I960" s="673"/>
      <c r="J960" s="673"/>
      <c r="K960" s="673"/>
      <c r="L960" s="673"/>
      <c r="M960" s="674" t="s">
        <v>184</v>
      </c>
      <c r="N960" s="675"/>
      <c r="O960" s="260" t="s">
        <v>185</v>
      </c>
      <c r="P960" s="261" t="s">
        <v>186</v>
      </c>
      <c r="Q960" s="676" t="s">
        <v>187</v>
      </c>
      <c r="R960" s="677"/>
      <c r="S960" s="262">
        <f>ROUND((IF(S957-S958&gt;=0,S957-S958,0)+S959),0.1)</f>
        <v>0</v>
      </c>
      <c r="T960" s="263" t="str">
        <f>L$8</f>
        <v>styczeń</v>
      </c>
      <c r="U960" s="264" t="str">
        <f>N$8</f>
        <v>2011 r.</v>
      </c>
    </row>
    <row r="961" spans="1:21" ht="69.75" customHeight="1" thickBot="1" thickTop="1">
      <c r="A961" s="568"/>
      <c r="B961" s="699" t="s">
        <v>188</v>
      </c>
      <c r="C961" s="700"/>
      <c r="D961" s="700"/>
      <c r="E961" s="701"/>
      <c r="F961" s="265" t="s">
        <v>189</v>
      </c>
      <c r="G961" s="266" t="s">
        <v>190</v>
      </c>
      <c r="H961" s="267" t="s">
        <v>191</v>
      </c>
      <c r="I961" s="268" t="s">
        <v>192</v>
      </c>
      <c r="J961" s="269" t="s">
        <v>193</v>
      </c>
      <c r="K961" s="238" t="s">
        <v>194</v>
      </c>
      <c r="L961" s="270" t="s">
        <v>195</v>
      </c>
      <c r="M961" s="198" t="s">
        <v>196</v>
      </c>
      <c r="N961" s="271" t="s">
        <v>197</v>
      </c>
      <c r="O961" s="294" t="s">
        <v>198</v>
      </c>
      <c r="P961" s="273" t="s">
        <v>199</v>
      </c>
      <c r="Q961" s="340" t="s">
        <v>200</v>
      </c>
      <c r="R961" s="275" t="s">
        <v>201</v>
      </c>
      <c r="S961" s="276">
        <f>IF(ROUND((P938-P967-C967),0.1)&gt;0,ROUND((P938-P967-C967),0.1),0)</f>
        <v>0</v>
      </c>
      <c r="T961" s="277"/>
      <c r="U961" s="278"/>
    </row>
    <row r="962" spans="1:21" ht="81" customHeight="1" thickTop="1">
      <c r="A962" s="568"/>
      <c r="B962" s="279" t="s">
        <v>202</v>
      </c>
      <c r="C962" s="279" t="s">
        <v>203</v>
      </c>
      <c r="D962" s="279" t="s">
        <v>204</v>
      </c>
      <c r="E962" s="279" t="s">
        <v>205</v>
      </c>
      <c r="F962" s="279" t="s">
        <v>206</v>
      </c>
      <c r="G962" s="280">
        <f>ROUND((H962*G964),2)</f>
        <v>0</v>
      </c>
      <c r="H962" s="281">
        <f>Q939+O949</f>
        <v>0</v>
      </c>
      <c r="I962" s="282">
        <f>Q939+O949</f>
        <v>0</v>
      </c>
      <c r="J962" s="282">
        <f>Q939+O949</f>
        <v>0</v>
      </c>
      <c r="K962" s="282">
        <f>Q939+O949</f>
        <v>0</v>
      </c>
      <c r="L962" s="283">
        <f>Q939+H949+I949-O962+O949</f>
        <v>0</v>
      </c>
      <c r="M962" s="284">
        <f>IF(D957&gt;0,IF(D957&lt;$U$1,ROUND((($E$1/$U$1)*D957),2),$E$1))+IF(K954&gt;0,K954,0)</f>
        <v>0</v>
      </c>
      <c r="N962" s="285">
        <f>M962</f>
        <v>0</v>
      </c>
      <c r="O962" s="286">
        <f>SUM(H965:J965)</f>
        <v>0</v>
      </c>
      <c r="P962" s="287">
        <f>IF(P963&gt;0,1,0)</f>
        <v>0</v>
      </c>
      <c r="Q962" s="288">
        <f>ROUND((H962-O949-P967+H949+I949)*$R$3,2)</f>
        <v>0</v>
      </c>
      <c r="R962" s="681" t="s">
        <v>207</v>
      </c>
      <c r="S962" s="683" t="s">
        <v>311</v>
      </c>
      <c r="T962" s="289"/>
      <c r="U962" s="278"/>
    </row>
    <row r="963" spans="1:21" ht="38.25" customHeight="1">
      <c r="A963" s="568"/>
      <c r="B963" s="158">
        <f>IF(H962&gt;0,B$2,0)</f>
        <v>0</v>
      </c>
      <c r="C963" s="158">
        <f>IF(I962&gt;0,H$4,0)</f>
        <v>0</v>
      </c>
      <c r="D963" s="158">
        <f>IF(J962&gt;0,F$2,0)</f>
        <v>0</v>
      </c>
      <c r="E963" s="158" t="s">
        <v>208</v>
      </c>
      <c r="F963" s="290" t="s">
        <v>209</v>
      </c>
      <c r="G963" s="291">
        <v>0</v>
      </c>
      <c r="H963" s="685" t="s">
        <v>210</v>
      </c>
      <c r="I963" s="686"/>
      <c r="J963" s="686"/>
      <c r="K963" s="686"/>
      <c r="L963" s="686"/>
      <c r="M963" s="292" t="s">
        <v>211</v>
      </c>
      <c r="N963" s="293" t="s">
        <v>212</v>
      </c>
      <c r="O963" s="294" t="s">
        <v>213</v>
      </c>
      <c r="P963" s="52">
        <f>IF(I962&lt;$E$1,IF(B967=1,IF(T944=0,ROUND((I962*$L$2),2),0),0),ROUND((I962*$L$2),2))</f>
        <v>0</v>
      </c>
      <c r="Q963" s="295" t="s">
        <v>214</v>
      </c>
      <c r="R963" s="682"/>
      <c r="S963" s="684"/>
      <c r="T963" s="289"/>
      <c r="U963" s="278"/>
    </row>
    <row r="964" spans="1:21" ht="42.75" customHeight="1" thickBot="1">
      <c r="A964" s="568"/>
      <c r="B964" s="158">
        <f>IF(H962&gt;0,B$2,0)</f>
        <v>0</v>
      </c>
      <c r="C964" s="158">
        <f>IF(I962&gt;0,D$2,0)</f>
        <v>0</v>
      </c>
      <c r="D964" s="158" t="s">
        <v>208</v>
      </c>
      <c r="E964" s="158">
        <f>IF(K962&gt;0,H$2,0)</f>
        <v>0</v>
      </c>
      <c r="F964" s="158">
        <f>IF(L962&gt;0,J$2,0)</f>
        <v>0</v>
      </c>
      <c r="G964" s="158">
        <f>IF(G963&gt;0,L$1,0)</f>
        <v>0</v>
      </c>
      <c r="H964" s="296" t="s">
        <v>215</v>
      </c>
      <c r="I964" s="297" t="s">
        <v>215</v>
      </c>
      <c r="J964" s="297" t="s">
        <v>215</v>
      </c>
      <c r="K964" s="298" t="s">
        <v>209</v>
      </c>
      <c r="L964" s="299" t="s">
        <v>215</v>
      </c>
      <c r="M964" s="300">
        <f>ROUND(M962*(B$2+B$2),2)</f>
        <v>0</v>
      </c>
      <c r="N964" s="301">
        <f>ROUND(N962*(D$2+H$4),2)</f>
        <v>0</v>
      </c>
      <c r="O964" s="302">
        <f>H967+I967+K967+G962</f>
        <v>0</v>
      </c>
      <c r="P964" s="303" t="s">
        <v>216</v>
      </c>
      <c r="Q964" s="304">
        <f>ROUND((L962*J$2),2)</f>
        <v>0</v>
      </c>
      <c r="R964" s="305" t="s">
        <v>217</v>
      </c>
      <c r="S964" s="684"/>
      <c r="T964" s="289"/>
      <c r="U964" s="278"/>
    </row>
    <row r="965" spans="1:21" ht="53.25" customHeight="1" thickBot="1" thickTop="1">
      <c r="A965" s="568"/>
      <c r="B965" s="141">
        <f>IF(B963+B964&gt;0,1,0)</f>
        <v>0</v>
      </c>
      <c r="C965" s="141">
        <f>IF(C963+C964&gt;0,1,0)</f>
        <v>0</v>
      </c>
      <c r="D965" s="141">
        <f>IF(D963&gt;0,1,0)</f>
        <v>0</v>
      </c>
      <c r="E965" s="141">
        <f>IF(E964&gt;0,1,0)</f>
        <v>0</v>
      </c>
      <c r="F965" s="141">
        <f>IF(F964&gt;0,1,0)</f>
        <v>0</v>
      </c>
      <c r="G965" s="141">
        <f>IF(G964&gt;0,1,0)</f>
        <v>0</v>
      </c>
      <c r="H965" s="306">
        <f>ROUND(H962*B963,2)</f>
        <v>0</v>
      </c>
      <c r="I965" s="307">
        <f>ROUND(I962*C963,2)</f>
        <v>0</v>
      </c>
      <c r="J965" s="307">
        <f>ROUND(J962*D963,2)</f>
        <v>0</v>
      </c>
      <c r="K965" s="244" t="s">
        <v>209</v>
      </c>
      <c r="L965" s="307">
        <f>IF(S956&gt;=ROUND(L962*F964,2),ROUND(L962*F964,2),S956)</f>
        <v>0</v>
      </c>
      <c r="M965" s="687" t="s">
        <v>218</v>
      </c>
      <c r="N965" s="688"/>
      <c r="O965" s="689" t="s">
        <v>219</v>
      </c>
      <c r="P965" s="308">
        <f>IF(P966&gt;0,1,0)</f>
        <v>0</v>
      </c>
      <c r="Q965" s="309" t="s">
        <v>220</v>
      </c>
      <c r="R965" s="310">
        <f>IF(B942=G942,H943+I943+J943+L943+O943+R943+IF(K943&gt;0,ROUND((K943/K941),2),0),0)+IF(B942&lt;G942,IF(B942&gt;0,ROUND((((H943+J943)/B942)*(G942-B955)),2)+IF(K943&gt;0,ROUND((K943/K941),2),0)+I943+L943+O943+R943,0),0)</f>
        <v>0</v>
      </c>
      <c r="S965" s="235">
        <f>IF(S957-S958&lt;0,S958-S957,0)</f>
        <v>0</v>
      </c>
      <c r="T965" s="289"/>
      <c r="U965" s="278"/>
    </row>
    <row r="966" spans="1:22" ht="63" customHeight="1" thickBot="1" thickTop="1">
      <c r="A966" s="568"/>
      <c r="B966" s="311" t="s">
        <v>221</v>
      </c>
      <c r="C966" s="311" t="s">
        <v>222</v>
      </c>
      <c r="D966" s="311" t="s">
        <v>34</v>
      </c>
      <c r="E966" s="146" t="s">
        <v>223</v>
      </c>
      <c r="F966" s="312" t="s">
        <v>224</v>
      </c>
      <c r="G966" s="139">
        <f>IF(Q962&gt;Q956,Q962-Q956,0)</f>
        <v>0</v>
      </c>
      <c r="H966" s="313" t="s">
        <v>225</v>
      </c>
      <c r="I966" s="314" t="s">
        <v>225</v>
      </c>
      <c r="J966" s="298" t="s">
        <v>209</v>
      </c>
      <c r="K966" s="315" t="s">
        <v>225</v>
      </c>
      <c r="L966" s="316" t="s">
        <v>226</v>
      </c>
      <c r="M966" s="317" t="s">
        <v>227</v>
      </c>
      <c r="N966" s="318" t="s">
        <v>228</v>
      </c>
      <c r="O966" s="690"/>
      <c r="P966" s="319">
        <f>ROUND(N$2*H962,2)</f>
        <v>0</v>
      </c>
      <c r="Q966" s="320">
        <f>IF(D957&gt;0,$U$2,0)</f>
        <v>0</v>
      </c>
      <c r="R966" s="321" t="s">
        <v>229</v>
      </c>
      <c r="S966" s="322" t="s">
        <v>230</v>
      </c>
      <c r="T966" s="691" t="s">
        <v>231</v>
      </c>
      <c r="U966" s="702"/>
      <c r="V966" s="323">
        <f>IF(ISBLANK(AM938),0,IF(IF(AF953&gt;=AI$2,AI$2,AF953)&gt;0,IF(AF953&gt;=AI$2,AI$2,AF953),0))</f>
        <v>0</v>
      </c>
    </row>
    <row r="967" spans="1:22" ht="42" customHeight="1" thickBot="1" thickTop="1">
      <c r="A967" s="570"/>
      <c r="B967" s="324">
        <f>IF(ISBLANK(T939),0,1)</f>
        <v>0</v>
      </c>
      <c r="C967" s="324">
        <f>IF(ISBLANK(T939),0,IF(IF(M954&gt;=P$2,P$2,M954)&gt;0,IF(M954&gt;=P$2,P$2,M954),0))</f>
        <v>0</v>
      </c>
      <c r="D967" s="324">
        <f>IF(ISBLANK(T939),0,S$1)</f>
        <v>0</v>
      </c>
      <c r="E967" s="325">
        <f>IF(G942&gt;0,$N$3,0)</f>
        <v>0</v>
      </c>
      <c r="F967" s="326">
        <f>O962+O964+P963+P966+L965+S960</f>
        <v>0</v>
      </c>
      <c r="G967" s="327">
        <f>IF(G966&gt;0,1,0)</f>
        <v>0</v>
      </c>
      <c r="H967" s="328">
        <f>ROUND(H962*B963,2)</f>
        <v>0</v>
      </c>
      <c r="I967" s="329">
        <f>ROUND(I962*C964,2)</f>
        <v>0</v>
      </c>
      <c r="J967" s="182" t="s">
        <v>209</v>
      </c>
      <c r="K967" s="330">
        <f>ROUND(K962*E964,2)</f>
        <v>0</v>
      </c>
      <c r="L967" s="185">
        <f>IF(S956&gt;=ROUND((H962-O949-P967+H949+I949)*$R$3,2),ROUND((H962-O949-P967+H949+I949)*$R$3,2),S956)</f>
        <v>0</v>
      </c>
      <c r="M967" s="179">
        <f>O962+O964</f>
        <v>0</v>
      </c>
      <c r="N967" s="331">
        <f>M967+L965</f>
        <v>0</v>
      </c>
      <c r="O967" s="332">
        <f>SUM(M964:N964)</f>
        <v>0</v>
      </c>
      <c r="P967" s="333">
        <f>ROUND(Q939*B963,2)+ROUND(Q939*C963,2)+ROUND(Q939*D963,2)</f>
        <v>0</v>
      </c>
      <c r="Q967" s="334">
        <f>IF(D957&gt;0,ROUND(($U$2*J$2),2),0)</f>
        <v>0</v>
      </c>
      <c r="R967" s="335">
        <f>IF(B942&gt;=G942/2,IF(B942=G942,H943+I943+J943+L943+O943+P943+R943+IF(K943&gt;0,ROUND((K943/K941),2),0),ROUND((((H943+J943+L943)/B942)*(G942-B955)),2)+IF(K943&gt;0,ROUND((K943/K941),2),0)+I943+O943+P943+R943),0)</f>
        <v>0</v>
      </c>
      <c r="S967" s="336">
        <f>IF(P938-O962-S960-L965&gt;0,P938-O962-S960-L965,0)</f>
        <v>0</v>
      </c>
      <c r="T967" s="693" t="s">
        <v>232</v>
      </c>
      <c r="U967" s="703"/>
      <c r="V967" s="323">
        <f>IF(ISBLANK(AM939),0,IF(IF(AF954&gt;=AJ$2,AJ$2,AF954)&gt;0,IF(AF954&gt;=AJ$2,AJ$2,AF954),0))</f>
        <v>0</v>
      </c>
    </row>
    <row r="968" ht="24" customHeight="1" thickTop="1"/>
    <row r="969" spans="1:21" ht="33" customHeight="1" thickBot="1">
      <c r="A969" s="704">
        <f>N7</f>
        <v>0</v>
      </c>
      <c r="B969" s="341" t="s">
        <v>73</v>
      </c>
      <c r="C969" s="113"/>
      <c r="D969" s="113"/>
      <c r="E969" s="114"/>
      <c r="F969" s="553" t="s">
        <v>74</v>
      </c>
      <c r="G969" s="555" t="s">
        <v>75</v>
      </c>
      <c r="H969" s="557" t="s">
        <v>76</v>
      </c>
      <c r="I969" s="557"/>
      <c r="J969" s="558"/>
      <c r="K969" s="559"/>
      <c r="L969" s="560"/>
      <c r="M969" s="560"/>
      <c r="N969" s="560"/>
      <c r="O969" s="561"/>
      <c r="P969" s="559"/>
      <c r="Q969" s="560"/>
      <c r="R969" s="560"/>
      <c r="S969" s="706"/>
      <c r="T969" s="707" t="s">
        <v>233</v>
      </c>
      <c r="U969" s="708"/>
    </row>
    <row r="970" spans="1:21" ht="54" customHeight="1" thickBot="1" thickTop="1">
      <c r="A970" s="705"/>
      <c r="B970" s="571" t="s">
        <v>79</v>
      </c>
      <c r="C970" s="571" t="s">
        <v>80</v>
      </c>
      <c r="D970" s="573" t="s">
        <v>81</v>
      </c>
      <c r="E970" s="573"/>
      <c r="F970" s="554"/>
      <c r="G970" s="556"/>
      <c r="H970" s="574" t="s">
        <v>82</v>
      </c>
      <c r="I970" s="574"/>
      <c r="J970" s="574"/>
      <c r="K970" s="574"/>
      <c r="L970" s="575">
        <f>L10+L42+L74+L106+L138+L170+L202+L234+L266+L298+L330+L362+L394+L426+L458+L490+L522+L554+L586+L618+L650+L682+L714+L746+L778+L810+L842+L874+L906+L938</f>
        <v>1501.5</v>
      </c>
      <c r="M970" s="576">
        <f>M10+M42+M74+M106+M138+M170+M202+M234+M266+M298+M330+M362+M394+M426+M458+M490+M522+M554+M586+M618+M650+M682+M714+M746+M778+M810+M842+M874+M906+M938</f>
        <v>0</v>
      </c>
      <c r="N970" s="577" t="s">
        <v>83</v>
      </c>
      <c r="O970" s="578"/>
      <c r="P970" s="575">
        <f aca="true" t="shared" si="90" ref="P970:R971">P10+P42+P74+P106+P138+P170+P202+P234+P266+P298+P330+P362+P394+P426+P458+P490+P522+P554+P586+P618+P650+P682+P714+P746+P778+P810+P842+P874+P906+P938</f>
        <v>1501.5</v>
      </c>
      <c r="Q970" s="576">
        <f t="shared" si="90"/>
        <v>0</v>
      </c>
      <c r="R970" s="119"/>
      <c r="S970" s="342"/>
      <c r="T970" s="94"/>
      <c r="U970" s="94"/>
    </row>
    <row r="971" spans="1:21" ht="49.5" customHeight="1">
      <c r="A971" s="705"/>
      <c r="B971" s="572"/>
      <c r="C971" s="572"/>
      <c r="D971" s="124" t="s">
        <v>85</v>
      </c>
      <c r="E971" s="124" t="s">
        <v>86</v>
      </c>
      <c r="F971" s="554"/>
      <c r="G971" s="556"/>
      <c r="H971" s="562" t="s">
        <v>87</v>
      </c>
      <c r="I971" s="563"/>
      <c r="J971" s="563"/>
      <c r="K971" s="563"/>
      <c r="L971" s="563"/>
      <c r="M971" s="563"/>
      <c r="N971" s="563"/>
      <c r="O971" s="563"/>
      <c r="P971" s="564"/>
      <c r="Q971" s="579">
        <f t="shared" si="90"/>
        <v>1501.5</v>
      </c>
      <c r="R971" s="580">
        <f t="shared" si="90"/>
        <v>0</v>
      </c>
      <c r="S971" s="343"/>
      <c r="T971" s="709">
        <f>COUNTA(T11,T43,T75,T107,T139,T171,T203,T235,T267,T299,T331,T363,T395,T427,T459,T491,T523,T555,T587,T619,T651,T683,T715,T747,T779,T811,T843,T875,T907,T939)</f>
        <v>0</v>
      </c>
      <c r="U971" s="582"/>
    </row>
    <row r="972" spans="1:21" ht="48" customHeight="1">
      <c r="A972" s="705"/>
      <c r="B972" s="572"/>
      <c r="C972" s="126"/>
      <c r="D972" s="124" t="s">
        <v>89</v>
      </c>
      <c r="E972" s="124" t="s">
        <v>89</v>
      </c>
      <c r="F972" s="554"/>
      <c r="G972" s="127"/>
      <c r="H972" s="344" t="s">
        <v>90</v>
      </c>
      <c r="I972" s="345" t="s">
        <v>91</v>
      </c>
      <c r="J972" s="345" t="s">
        <v>92</v>
      </c>
      <c r="K972" s="130" t="s">
        <v>93</v>
      </c>
      <c r="L972" s="553" t="s">
        <v>94</v>
      </c>
      <c r="M972" s="553" t="s">
        <v>95</v>
      </c>
      <c r="N972" s="553" t="s">
        <v>96</v>
      </c>
      <c r="O972" s="553" t="s">
        <v>97</v>
      </c>
      <c r="P972" s="553" t="s">
        <v>98</v>
      </c>
      <c r="Q972" s="710" t="s">
        <v>99</v>
      </c>
      <c r="R972" s="712" t="s">
        <v>100</v>
      </c>
      <c r="S972" s="714" t="s">
        <v>101</v>
      </c>
      <c r="T972" s="709"/>
      <c r="U972" s="582"/>
    </row>
    <row r="973" spans="1:21" ht="67.5" customHeight="1">
      <c r="A973" s="705"/>
      <c r="B973" s="572"/>
      <c r="C973" s="131"/>
      <c r="D973" s="131"/>
      <c r="E973" s="131"/>
      <c r="F973" s="554"/>
      <c r="G973" s="127"/>
      <c r="H973" s="346" t="s">
        <v>103</v>
      </c>
      <c r="I973" s="311" t="s">
        <v>104</v>
      </c>
      <c r="J973" s="134">
        <f>J13+J45+J77+J109+J141+J173+J205+J237+J269+J301+J333+J365+J397+J429+J461+J493+J525+J557+J589+J621+J653+J685+J717+J749+J781+J813+J845+J877+J909+J941</f>
        <v>0</v>
      </c>
      <c r="K973" s="135">
        <f>K13+K45+K77+K109+K141+K173+K205+K237+K269+K301+K333+K365+K397+K429+K461+K493+K525+K557+K589+K621+K653+K685+K717+K749+K781+K813+K845+K877+K909+K941</f>
        <v>30</v>
      </c>
      <c r="L973" s="554"/>
      <c r="M973" s="554"/>
      <c r="N973" s="554"/>
      <c r="O973" s="554"/>
      <c r="P973" s="554"/>
      <c r="Q973" s="711"/>
      <c r="R973" s="713"/>
      <c r="S973" s="715"/>
      <c r="T973" s="709"/>
      <c r="U973" s="582"/>
    </row>
    <row r="974" spans="1:21" ht="48.75" customHeight="1">
      <c r="A974" s="705"/>
      <c r="B974" s="137">
        <f aca="true" t="shared" si="91" ref="B974:S977">B14+B46+B78+B110+B142+B174+B206+B238+B270+B302+B334+B366+B398+B430+B462+B494+B526+B558+B590+B622+B654+B686+B718+B750+B782+B814+B846+B878+B910+B942</f>
        <v>0</v>
      </c>
      <c r="C974" s="137">
        <f t="shared" si="91"/>
        <v>0</v>
      </c>
      <c r="D974" s="137">
        <f t="shared" si="91"/>
        <v>0</v>
      </c>
      <c r="E974" s="138">
        <f t="shared" si="91"/>
        <v>0</v>
      </c>
      <c r="F974" s="138">
        <f t="shared" si="91"/>
        <v>0</v>
      </c>
      <c r="G974" s="139">
        <f t="shared" si="91"/>
        <v>0</v>
      </c>
      <c r="H974" s="347">
        <f t="shared" si="91"/>
        <v>1</v>
      </c>
      <c r="I974" s="348">
        <f t="shared" si="91"/>
        <v>0</v>
      </c>
      <c r="J974" s="348">
        <f t="shared" si="91"/>
        <v>0</v>
      </c>
      <c r="K974" s="349">
        <f t="shared" si="91"/>
        <v>0</v>
      </c>
      <c r="L974" s="349">
        <f t="shared" si="91"/>
        <v>0</v>
      </c>
      <c r="M974" s="349">
        <f t="shared" si="91"/>
        <v>1</v>
      </c>
      <c r="N974" s="349">
        <f t="shared" si="91"/>
        <v>0</v>
      </c>
      <c r="O974" s="348">
        <f t="shared" si="91"/>
        <v>0</v>
      </c>
      <c r="P974" s="349">
        <f t="shared" si="91"/>
        <v>0</v>
      </c>
      <c r="Q974" s="349">
        <f t="shared" si="91"/>
        <v>0</v>
      </c>
      <c r="R974" s="350">
        <f t="shared" si="91"/>
        <v>0</v>
      </c>
      <c r="S974" s="351">
        <f t="shared" si="91"/>
        <v>0</v>
      </c>
      <c r="T974" s="716"/>
      <c r="U974" s="716"/>
    </row>
    <row r="975" spans="1:22" ht="48.75" customHeight="1" thickBot="1">
      <c r="A975" s="705"/>
      <c r="B975" s="595" t="s">
        <v>106</v>
      </c>
      <c r="C975" s="595" t="s">
        <v>107</v>
      </c>
      <c r="D975" s="596" t="s">
        <v>108</v>
      </c>
      <c r="E975" s="352" t="s">
        <v>109</v>
      </c>
      <c r="F975" s="149">
        <f t="shared" si="91"/>
        <v>0</v>
      </c>
      <c r="G975" s="597" t="s">
        <v>110</v>
      </c>
      <c r="H975" s="150">
        <f t="shared" si="91"/>
        <v>1386</v>
      </c>
      <c r="I975" s="151">
        <f t="shared" si="91"/>
        <v>0</v>
      </c>
      <c r="J975" s="151">
        <f t="shared" si="91"/>
        <v>0</v>
      </c>
      <c r="K975" s="151">
        <f t="shared" si="91"/>
        <v>0</v>
      </c>
      <c r="L975" s="151">
        <f t="shared" si="91"/>
        <v>0</v>
      </c>
      <c r="M975" s="151">
        <f t="shared" si="91"/>
        <v>115.5</v>
      </c>
      <c r="N975" s="151">
        <f t="shared" si="91"/>
        <v>0</v>
      </c>
      <c r="O975" s="151">
        <f t="shared" si="91"/>
        <v>0</v>
      </c>
      <c r="P975" s="151">
        <f t="shared" si="91"/>
        <v>0</v>
      </c>
      <c r="Q975" s="151">
        <f t="shared" si="91"/>
        <v>0</v>
      </c>
      <c r="R975" s="152">
        <f t="shared" si="91"/>
        <v>0</v>
      </c>
      <c r="S975" s="353">
        <f t="shared" si="91"/>
        <v>0</v>
      </c>
      <c r="T975" s="716"/>
      <c r="U975" s="716"/>
      <c r="V975" s="145">
        <f>V15+V47+V79+V111+V143+V175+V207+V239+V271+V303+V335+V367+V399+V431+V463+V495+V527+V559+V591+V623+V655+V687+V719+V751+V783+V815+V847+V879+V911+V943</f>
        <v>0</v>
      </c>
    </row>
    <row r="976" spans="1:21" ht="50.25" customHeight="1">
      <c r="A976" s="705"/>
      <c r="B976" s="554"/>
      <c r="C976" s="554"/>
      <c r="D976" s="554"/>
      <c r="E976" s="717" t="s">
        <v>112</v>
      </c>
      <c r="F976" s="717"/>
      <c r="G976" s="598"/>
      <c r="H976" s="600" t="s">
        <v>113</v>
      </c>
      <c r="I976" s="601"/>
      <c r="J976" s="601"/>
      <c r="K976" s="601"/>
      <c r="L976" s="601"/>
      <c r="M976" s="602">
        <f t="shared" si="91"/>
        <v>0</v>
      </c>
      <c r="N976" s="603">
        <f t="shared" si="91"/>
        <v>0</v>
      </c>
      <c r="O976" s="604" t="s">
        <v>114</v>
      </c>
      <c r="P976" s="604"/>
      <c r="Q976" s="604"/>
      <c r="R976" s="604"/>
      <c r="S976" s="354">
        <f t="shared" si="91"/>
        <v>0</v>
      </c>
      <c r="T976" s="718"/>
      <c r="U976" s="719"/>
    </row>
    <row r="977" spans="1:21" ht="42" customHeight="1">
      <c r="A977" s="705"/>
      <c r="B977" s="157"/>
      <c r="C977" s="131"/>
      <c r="D977" s="131"/>
      <c r="E977" s="356">
        <v>0.8</v>
      </c>
      <c r="F977" s="356">
        <v>1</v>
      </c>
      <c r="G977" s="357">
        <v>0.8</v>
      </c>
      <c r="H977" s="607" t="s">
        <v>115</v>
      </c>
      <c r="I977" s="608"/>
      <c r="J977" s="609" t="s">
        <v>116</v>
      </c>
      <c r="K977" s="610"/>
      <c r="L977" s="610"/>
      <c r="M977" s="611">
        <f t="shared" si="91"/>
        <v>0</v>
      </c>
      <c r="N977" s="612">
        <f t="shared" si="91"/>
        <v>0</v>
      </c>
      <c r="O977" s="160" t="s">
        <v>117</v>
      </c>
      <c r="P977" s="613" t="s">
        <v>118</v>
      </c>
      <c r="Q977" s="614"/>
      <c r="R977" s="615"/>
      <c r="S977" s="358">
        <f t="shared" si="91"/>
        <v>0</v>
      </c>
      <c r="T977" s="720"/>
      <c r="U977" s="721"/>
    </row>
    <row r="978" spans="1:21" ht="49.5" customHeight="1">
      <c r="A978" s="705"/>
      <c r="B978" s="137">
        <f aca="true" t="shared" si="92" ref="B978:G978">B18+B50+B82+B114+B146+B178+B210+B242+B274+B306+B338+B370+B402+B434+B466+B498+B530+B562+B594+B626+B658+B690+B722+B754+B786+B818+B850+B882+B914+B946</f>
        <v>0</v>
      </c>
      <c r="C978" s="137">
        <f t="shared" si="92"/>
        <v>0</v>
      </c>
      <c r="D978" s="137">
        <f t="shared" si="92"/>
        <v>0</v>
      </c>
      <c r="E978" s="137">
        <f t="shared" si="92"/>
        <v>0</v>
      </c>
      <c r="F978" s="137">
        <f t="shared" si="92"/>
        <v>0</v>
      </c>
      <c r="G978" s="139">
        <f t="shared" si="92"/>
        <v>0</v>
      </c>
      <c r="H978" s="618" t="s">
        <v>119</v>
      </c>
      <c r="I978" s="162"/>
      <c r="J978" s="620" t="s">
        <v>120</v>
      </c>
      <c r="K978" s="595" t="s">
        <v>121</v>
      </c>
      <c r="L978" s="595" t="s">
        <v>122</v>
      </c>
      <c r="M978" s="595" t="s">
        <v>123</v>
      </c>
      <c r="N978" s="163" t="s">
        <v>124</v>
      </c>
      <c r="O978" s="622" t="s">
        <v>125</v>
      </c>
      <c r="P978" s="722" t="s">
        <v>126</v>
      </c>
      <c r="Q978" s="554" t="s">
        <v>127</v>
      </c>
      <c r="R978" s="634" t="s">
        <v>128</v>
      </c>
      <c r="S978" s="723" t="s">
        <v>129</v>
      </c>
      <c r="T978" s="724" t="s">
        <v>234</v>
      </c>
      <c r="U978" s="725"/>
    </row>
    <row r="979" spans="1:21" ht="42" customHeight="1">
      <c r="A979" s="705"/>
      <c r="B979" s="595" t="s">
        <v>110</v>
      </c>
      <c r="C979" s="595" t="s">
        <v>130</v>
      </c>
      <c r="D979" s="595" t="s">
        <v>131</v>
      </c>
      <c r="E979" s="595" t="s">
        <v>132</v>
      </c>
      <c r="F979" s="595" t="s">
        <v>110</v>
      </c>
      <c r="G979" s="166" t="s">
        <v>133</v>
      </c>
      <c r="H979" s="619"/>
      <c r="I979" s="167"/>
      <c r="J979" s="621"/>
      <c r="K979" s="554"/>
      <c r="L979" s="554"/>
      <c r="M979" s="554"/>
      <c r="N979" s="168" t="s">
        <v>134</v>
      </c>
      <c r="O979" s="623"/>
      <c r="P979" s="722"/>
      <c r="Q979" s="554"/>
      <c r="R979" s="634"/>
      <c r="S979" s="723"/>
      <c r="T979" s="581">
        <f>T19+T51+T83+T115+T147+T179+T211+T243+T275+T307+T339+T371+T403+T435+T467+T499+T531+T563+T595+T627+T659+T691+T723+T755+T787+T819+T851+T883+T915+T947</f>
        <v>1295.6399999999999</v>
      </c>
      <c r="U979" s="582" t="e">
        <f>#REF!+#REF!+#REF!+#REF!+#REF!+#REF!+#REF!+#REF!+#REF!+#REF!</f>
        <v>#REF!</v>
      </c>
    </row>
    <row r="980" spans="1:21" ht="42" customHeight="1">
      <c r="A980" s="705"/>
      <c r="B980" s="554"/>
      <c r="C980" s="554"/>
      <c r="D980" s="554"/>
      <c r="E980" s="554"/>
      <c r="F980" s="554"/>
      <c r="G980" s="139">
        <f aca="true" t="shared" si="93" ref="G980:S983">G20+G52+G84+G116+G148+G180+G212+G244+G276+G308+G340+G372+G404+G436+G468+G500+G532+G564+G596+G628+G660+G692+G724+G756+G788+G820+G852+G884+G916+G948</f>
        <v>0</v>
      </c>
      <c r="H980" s="359">
        <f t="shared" si="93"/>
        <v>0</v>
      </c>
      <c r="I980" s="360">
        <f t="shared" si="93"/>
        <v>0</v>
      </c>
      <c r="J980" s="361">
        <f t="shared" si="93"/>
        <v>0</v>
      </c>
      <c r="K980" s="362">
        <f t="shared" si="93"/>
        <v>0</v>
      </c>
      <c r="L980" s="363">
        <f t="shared" si="93"/>
        <v>0</v>
      </c>
      <c r="M980" s="363">
        <f t="shared" si="93"/>
        <v>0</v>
      </c>
      <c r="N980" s="364">
        <f t="shared" si="93"/>
        <v>0</v>
      </c>
      <c r="O980" s="365">
        <f t="shared" si="93"/>
        <v>0</v>
      </c>
      <c r="P980" s="361">
        <f t="shared" si="93"/>
        <v>0</v>
      </c>
      <c r="Q980" s="363">
        <f t="shared" si="93"/>
        <v>0</v>
      </c>
      <c r="R980" s="363">
        <f t="shared" si="93"/>
        <v>0</v>
      </c>
      <c r="S980" s="366">
        <f t="shared" si="93"/>
        <v>0</v>
      </c>
      <c r="T980" s="581" t="e">
        <f>#REF!+#REF!+#REF!+#REF!+#REF!+#REF!+#REF!+#REF!+#REF!+#REF!</f>
        <v>#REF!</v>
      </c>
      <c r="U980" s="582" t="e">
        <f>#REF!+#REF!+#REF!+#REF!+#REF!+#REF!+#REF!+#REF!+#REF!+#REF!</f>
        <v>#REF!</v>
      </c>
    </row>
    <row r="981" spans="1:21" ht="45.75" customHeight="1" thickBot="1">
      <c r="A981" s="705"/>
      <c r="B981" s="177">
        <v>1</v>
      </c>
      <c r="C981" s="177">
        <v>0.8</v>
      </c>
      <c r="D981" s="554"/>
      <c r="E981" s="554"/>
      <c r="F981" s="177">
        <v>0.7</v>
      </c>
      <c r="G981" s="178">
        <f t="shared" si="93"/>
        <v>0</v>
      </c>
      <c r="H981" s="179">
        <f t="shared" si="93"/>
        <v>0</v>
      </c>
      <c r="I981" s="180">
        <f t="shared" si="93"/>
        <v>0</v>
      </c>
      <c r="J981" s="181">
        <f t="shared" si="93"/>
        <v>0</v>
      </c>
      <c r="K981" s="182">
        <f t="shared" si="93"/>
        <v>0</v>
      </c>
      <c r="L981" s="182">
        <f t="shared" si="93"/>
        <v>0</v>
      </c>
      <c r="M981" s="182">
        <f t="shared" si="93"/>
        <v>0</v>
      </c>
      <c r="N981" s="183">
        <f t="shared" si="93"/>
        <v>0</v>
      </c>
      <c r="O981" s="184">
        <f t="shared" si="93"/>
        <v>0</v>
      </c>
      <c r="P981" s="181">
        <f t="shared" si="93"/>
        <v>0</v>
      </c>
      <c r="Q981" s="182">
        <f t="shared" si="93"/>
        <v>0</v>
      </c>
      <c r="R981" s="182">
        <f t="shared" si="93"/>
        <v>0</v>
      </c>
      <c r="S981" s="331">
        <f t="shared" si="93"/>
        <v>0</v>
      </c>
      <c r="T981" s="581" t="e">
        <f>#REF!+#REF!+#REF!+#REF!+#REF!+#REF!+#REF!+#REF!+#REF!+#REF!</f>
        <v>#REF!</v>
      </c>
      <c r="U981" s="582" t="e">
        <f>#REF!+#REF!+#REF!+#REF!+#REF!+#REF!+#REF!+#REF!+#REF!+#REF!</f>
        <v>#REF!</v>
      </c>
    </row>
    <row r="982" spans="1:21" ht="55.5" customHeight="1" thickBot="1" thickTop="1">
      <c r="A982" s="705"/>
      <c r="B982" s="137">
        <f>B22+B54+B86+B118+B150+B182+B214+B246+B278+B310+B342+B374+B406+B438+B470+B502+B534+B566+B598+B630+B662+B694+B726+B758+B790+B822+B854+B886+B918+B950</f>
        <v>0</v>
      </c>
      <c r="C982" s="137">
        <f>C22+C54+C86+C118+C150+C182+C214+C246+C278+C310+C342+C374+C406+C438+C470+C502+C534+C566+C598+C630+C662+C694+C726+C758+C790+C822+C854+C886+C918+C950</f>
        <v>0</v>
      </c>
      <c r="D982" s="137">
        <f>D22+D54+D86+D118+D150+D182+D214+D246+D278+D310+D342+D374+D406+D438+D470+D502+D534+D566+D598+D630+D662+D694+D726+D758+D790+D822+D854+D886+D918+D950</f>
        <v>0</v>
      </c>
      <c r="E982" s="137">
        <f>E22+E54+E86+E118+E150+E182+E214+E246+E278+E310+E342+E374+E406+E438+E470+E502+E534+E566+E598+E630+E662+E694+E726+E758+E790+E822+E854+E886+E918+E950</f>
        <v>0</v>
      </c>
      <c r="F982" s="137">
        <f>F22+F54+F86+F118+F150+F182+F214+F246+F278+F310+F342+F374+F406+F438+F470+F502+F534+F566+F598+F630+F662+F694+F726+F758+F790+F822+F854+F886+F918+F950</f>
        <v>0</v>
      </c>
      <c r="G982" s="139">
        <f t="shared" si="93"/>
        <v>0</v>
      </c>
      <c r="H982" s="726" t="s">
        <v>135</v>
      </c>
      <c r="I982" s="727"/>
      <c r="J982" s="727"/>
      <c r="K982" s="575">
        <f t="shared" si="93"/>
        <v>0</v>
      </c>
      <c r="L982" s="576">
        <f t="shared" si="93"/>
        <v>0</v>
      </c>
      <c r="M982" s="728" t="s">
        <v>136</v>
      </c>
      <c r="N982" s="729"/>
      <c r="O982" s="729"/>
      <c r="P982" s="575">
        <f t="shared" si="93"/>
        <v>0</v>
      </c>
      <c r="Q982" s="575">
        <f t="shared" si="93"/>
        <v>0</v>
      </c>
      <c r="R982" s="186"/>
      <c r="S982" s="367"/>
      <c r="T982" s="368"/>
      <c r="U982" s="368"/>
    </row>
    <row r="983" spans="1:21" ht="144" customHeight="1">
      <c r="A983" s="705"/>
      <c r="B983" s="189" t="s">
        <v>137</v>
      </c>
      <c r="C983" s="190" t="s">
        <v>138</v>
      </c>
      <c r="D983" s="595" t="s">
        <v>139</v>
      </c>
      <c r="E983" s="730" t="s">
        <v>312</v>
      </c>
      <c r="F983" s="147" t="s">
        <v>140</v>
      </c>
      <c r="G983" s="369" t="s">
        <v>141</v>
      </c>
      <c r="H983" s="732" t="s">
        <v>142</v>
      </c>
      <c r="I983" s="733"/>
      <c r="J983" s="733"/>
      <c r="K983" s="733"/>
      <c r="L983" s="193">
        <f t="shared" si="93"/>
        <v>0</v>
      </c>
      <c r="M983" s="625"/>
      <c r="N983" s="626"/>
      <c r="O983" s="626"/>
      <c r="P983" s="193">
        <f t="shared" si="93"/>
        <v>0</v>
      </c>
      <c r="Q983" s="635" t="s">
        <v>235</v>
      </c>
      <c r="R983" s="636"/>
      <c r="S983" s="370">
        <f>S23+S55+S87+S119+S151+S183+S215+S247+S279+S311+S343+S375+S407+S439+S471+S503+S535+S567+S599+S631+S663+S695+S727+S759+S791+S823+S855+S887+S919+S951</f>
        <v>0</v>
      </c>
      <c r="T983" s="368"/>
      <c r="U983" s="368"/>
    </row>
    <row r="984" spans="1:21" ht="129" customHeight="1" thickBot="1">
      <c r="A984" s="705"/>
      <c r="B984" s="371" t="s">
        <v>143</v>
      </c>
      <c r="C984" s="196">
        <f>C24+C56+C88+C120+C152+C184+C216+C248+C280+C312+C344+C376+C408+C440+C472+C504+C536+C568+C600+C632+C664+C696+C728+C760+C792+C824+C856+C888+C920+C952</f>
        <v>0</v>
      </c>
      <c r="D984" s="554"/>
      <c r="E984" s="731"/>
      <c r="F984" s="248">
        <f>F24+F56+F88+F120+F152+F184+F216+F248+F280+F312+F344+F376+F408+F440+F472+F504+F536+F568+F600+F632+F664+F696+F728+F760+F792+F824+F856+F888+F920+F952</f>
        <v>0</v>
      </c>
      <c r="G984" s="372" t="s">
        <v>313</v>
      </c>
      <c r="H984" s="373" t="s">
        <v>144</v>
      </c>
      <c r="I984" s="206" t="s">
        <v>145</v>
      </c>
      <c r="J984" s="206" t="s">
        <v>146</v>
      </c>
      <c r="K984" s="206" t="s">
        <v>147</v>
      </c>
      <c r="L984" s="374" t="s">
        <v>148</v>
      </c>
      <c r="M984" s="201"/>
      <c r="N984" s="202">
        <f>N24+N56+N88+N120+N152+N184+N216+N248+N280+N312+N344+N376+N408+N440+N472+N504+N536+N568+N600+N632+N664+N696+N728+N760+N792+N824+N856+N888+N920+N952</f>
        <v>0</v>
      </c>
      <c r="O984" s="203">
        <f>O24+O56+O88+O120+O152+O184+O216+O248+O280+O312+O344+O376+O408+O440+O472+O504+O536+O568+O600+O632+O664+O696+O728+O760+O792+O824+O856+O888+O920+O952</f>
        <v>0</v>
      </c>
      <c r="P984" s="204">
        <f>P24+P56+P88+P120+P152+P184+P216+P248+P280+P312+P344+P376+P408+P440+P472+P504+P536+P568+P600+P632+P664+P696+P728+P760+P792+P824+P856+P888+P920+P952</f>
        <v>0</v>
      </c>
      <c r="Q984" s="205" t="s">
        <v>236</v>
      </c>
      <c r="R984" s="206" t="s">
        <v>237</v>
      </c>
      <c r="S984" s="375" t="s">
        <v>238</v>
      </c>
      <c r="T984" s="376"/>
      <c r="U984" s="368"/>
    </row>
    <row r="985" spans="1:21" ht="51.75" customHeight="1">
      <c r="A985" s="705"/>
      <c r="B985" s="208">
        <f>B25+B57+B89+B121+B153+B185+B217+B249+B281+B313+B345+B377+B409+B441+B473+B505+B537+B569+B601+B633+B665+B697+B729+B761+B793+B825+B857+B889+B921+B953</f>
        <v>0</v>
      </c>
      <c r="C985" s="595" t="s">
        <v>149</v>
      </c>
      <c r="D985" s="554"/>
      <c r="E985" s="377">
        <f aca="true" t="shared" si="94" ref="E985:G987">E25+E57+E89+E121+E153+E185+E217+E249+E281+E313+E345+E377+E409+E441+E473+E505+E537+E569+E601+E633+E665+E697+E729+E761+E793+E825+E857+E889+E921+E953</f>
        <v>0</v>
      </c>
      <c r="F985" s="139">
        <f t="shared" si="94"/>
        <v>0</v>
      </c>
      <c r="G985" s="378">
        <f>IF(G986+G987&gt;0,1,0)</f>
        <v>0</v>
      </c>
      <c r="H985" s="379">
        <f>H25+H57+H89+H121+H153+H185+H217+H249+H281+H313+H345+H377+H409+H441+H473+H505+H537+H569+H601+H633+H665+H697+H729+H761+H793+H825+H857+H889+H921+H953</f>
        <v>0</v>
      </c>
      <c r="I985" s="363">
        <f>I25+I57+I89+I121+I153+I185+I217+I249+I281+I313+I345+I377+I409+I441+I473+I505+I537+I569+I601+I633+I665+I697+I729+I761+I793+I825+I857+I889+I921+I953</f>
        <v>0</v>
      </c>
      <c r="J985" s="363">
        <f>J25+J57+J89+J121+J153+J185+J217+J249+J281+J313+J345+J377+J409+J441+J473+J505+J537+J569+J601+J633+J665+J697+J729+J761+J793+J825+J857+J889+J921+J953</f>
        <v>0</v>
      </c>
      <c r="K985" s="363">
        <f>K25+K57+K89+K121+K153+K185+K217+K249+K281+K313+K345+K377+K409+K441+K473+K505+K537+K569+K601+K633+K665+K697+K729+K761+K793+K825+K857+K889+K921+K953</f>
        <v>0</v>
      </c>
      <c r="L985" s="380">
        <f>L25+L57+L89+L121+L153+L185+L217+L249+L281+L313+L345+L377+L409+L441+L473+L505+L537+L569+L601+L633+L665+L697+L729+L761+L793+L825+L857+L889+L921+L953</f>
        <v>0</v>
      </c>
      <c r="M985" s="639" t="s">
        <v>150</v>
      </c>
      <c r="N985" s="640"/>
      <c r="O985" s="641"/>
      <c r="P985" s="642"/>
      <c r="Q985" s="215">
        <f>Q25+Q57+Q89+Q121+Q153+Q185+Q217+Q249+Q281+Q313+Q345+Q377+Q409+Q441+Q473+Q505+Q537+Q569+Q601+Q633+Q665+Q697+Q729+Q761+Q793+Q825+Q857+Q889+Q921+Q953</f>
        <v>0</v>
      </c>
      <c r="R985" s="216">
        <f>R25+R57+R89+R121+R153+R185+R217+R249+R281+R313+R345+R377+R409+R441+R473+R505+R537+R569+R601+R633+R665+R697+R729+R761+R793+R825+R857+R889+R921+R953</f>
        <v>0</v>
      </c>
      <c r="S985" s="252">
        <f>S25+S57+S89+S121+S153+S185+S217+S249+S281+S313+S345+S377+S409+S441+S473+S505+S537+S569+S601+S633+S665+S697+S729+S761+S793+S825+S857+S889+S921+S953</f>
        <v>0</v>
      </c>
      <c r="T985" s="368"/>
      <c r="U985" s="368"/>
    </row>
    <row r="986" spans="1:21" ht="60.75" customHeight="1" thickBot="1">
      <c r="A986" s="705"/>
      <c r="B986" s="381" t="s">
        <v>151</v>
      </c>
      <c r="C986" s="554"/>
      <c r="D986" s="131"/>
      <c r="E986" s="382">
        <f t="shared" si="94"/>
        <v>0</v>
      </c>
      <c r="F986" s="383" t="s">
        <v>239</v>
      </c>
      <c r="G986" s="221">
        <f aca="true" t="shared" si="95" ref="G986:S986">G26+G58+G90+G122+G154+G186+G218+G250+G282+G314+G346+G378+G410+G442+G474+G506+G538+G570+G602+G634+G666+G698+G730+G762+G794+G826+G858+G890+G922+G954</f>
        <v>0</v>
      </c>
      <c r="H986" s="179">
        <f t="shared" si="95"/>
        <v>0</v>
      </c>
      <c r="I986" s="182">
        <f t="shared" si="95"/>
        <v>0</v>
      </c>
      <c r="J986" s="182">
        <f t="shared" si="95"/>
        <v>0</v>
      </c>
      <c r="K986" s="182">
        <f t="shared" si="95"/>
        <v>0</v>
      </c>
      <c r="L986" s="384">
        <f t="shared" si="95"/>
        <v>0</v>
      </c>
      <c r="M986" s="645">
        <f t="shared" si="95"/>
        <v>1501.5</v>
      </c>
      <c r="N986" s="646">
        <f t="shared" si="95"/>
        <v>0</v>
      </c>
      <c r="O986" s="202">
        <f t="shared" si="95"/>
        <v>0</v>
      </c>
      <c r="P986" s="223">
        <f t="shared" si="95"/>
        <v>0</v>
      </c>
      <c r="Q986" s="224">
        <f t="shared" si="95"/>
        <v>0</v>
      </c>
      <c r="R986" s="182">
        <f t="shared" si="95"/>
        <v>0</v>
      </c>
      <c r="S986" s="331">
        <f t="shared" si="95"/>
        <v>0</v>
      </c>
      <c r="T986" s="734" t="s">
        <v>240</v>
      </c>
      <c r="U986" s="735"/>
    </row>
    <row r="987" spans="1:21" ht="66.75" customHeight="1" thickTop="1">
      <c r="A987" s="705"/>
      <c r="B987" s="208">
        <f>B27+B59+B91+B123+B155+B187+B219+B251+B283+B315+B347+B379+B411+B443+B475+B507+B539+B571+B603+B635+B667+B699+B731+B763+B795+B827+B859+B891+B923+B955</f>
        <v>0</v>
      </c>
      <c r="C987" s="208">
        <f>C27+C59+C91+C123+C155+C187+C219+C251+C283+C315+C347+C379+C411+C443+C475+C507+C539+C571+C603+C635+C667+C699+C731+C763+C795+C827+C859+C891+C923+C955</f>
        <v>0</v>
      </c>
      <c r="D987" s="208">
        <f>D27+D59+D91+D123+D155+D187+D219+D251+D283+D315+D347+D379+D411+D443+D475+D507+D539+D571+D603+D635+D667+D699+D731+D763+D795+D827+D859+D891+D923+D955</f>
        <v>0</v>
      </c>
      <c r="E987" s="208">
        <f t="shared" si="94"/>
        <v>0</v>
      </c>
      <c r="F987" s="225">
        <f t="shared" si="94"/>
        <v>0</v>
      </c>
      <c r="G987" s="226">
        <f t="shared" si="94"/>
        <v>0</v>
      </c>
      <c r="H987" s="736" t="s">
        <v>241</v>
      </c>
      <c r="I987" s="655" t="s">
        <v>154</v>
      </c>
      <c r="J987" s="657" t="s">
        <v>155</v>
      </c>
      <c r="K987" s="738" t="s">
        <v>314</v>
      </c>
      <c r="L987" s="661" t="s">
        <v>157</v>
      </c>
      <c r="M987" s="661"/>
      <c r="N987" s="661"/>
      <c r="O987" s="662"/>
      <c r="P987" s="663" t="s">
        <v>158</v>
      </c>
      <c r="Q987" s="385" t="s">
        <v>242</v>
      </c>
      <c r="R987" s="386" t="s">
        <v>243</v>
      </c>
      <c r="S987" s="387" t="s">
        <v>161</v>
      </c>
      <c r="T987" s="734"/>
      <c r="U987" s="735"/>
    </row>
    <row r="988" spans="1:21" ht="180" customHeight="1">
      <c r="A988" s="705"/>
      <c r="B988" s="741" t="s">
        <v>163</v>
      </c>
      <c r="C988" s="117" t="s">
        <v>164</v>
      </c>
      <c r="D988" s="337" t="s">
        <v>165</v>
      </c>
      <c r="E988" s="146" t="s">
        <v>166</v>
      </c>
      <c r="F988" s="666" t="s">
        <v>167</v>
      </c>
      <c r="G988" s="388" t="s">
        <v>168</v>
      </c>
      <c r="H988" s="737"/>
      <c r="I988" s="656"/>
      <c r="J988" s="658"/>
      <c r="K988" s="739"/>
      <c r="L988" s="232" t="s">
        <v>169</v>
      </c>
      <c r="M988" s="123" t="s">
        <v>170</v>
      </c>
      <c r="N988" s="136" t="s">
        <v>171</v>
      </c>
      <c r="O988" s="136" t="s">
        <v>172</v>
      </c>
      <c r="P988" s="556"/>
      <c r="Q988" s="233">
        <f>Q28+Q60+Q92+Q124+Q156+Q188+Q220+Q252+Q284+Q316+Q348+Q380+Q412+Q444+Q476+Q508+Q540+Q572+Q604+Q636+Q668+Q700+Q732+Q764+Q796+Q828+Q860+Q892+Q924+Q956</f>
        <v>0</v>
      </c>
      <c r="R988" s="234">
        <f>R28+R60+R92+R124+R156+R188+R220+R252+R284+R316+R348+R380+R412+R444+R476+R508+R540+R572+R604+R636+R668+R700+R732+R764+R796+R828+R860+R892+R924+R956</f>
        <v>0</v>
      </c>
      <c r="S988" s="389">
        <f>S28+S60+S92+S124+S156+S188+S220+S252+S284+S316+S348+S380+S412+S444+S476+S508+S540+S572+S604+S636+S668+S700+S732+S764+S796+S828+S860+S892+S924+S956</f>
        <v>0</v>
      </c>
      <c r="T988" s="390" t="str">
        <f>L$8</f>
        <v>styczeń</v>
      </c>
      <c r="U988" s="391" t="str">
        <f>N$8</f>
        <v>2011 r.</v>
      </c>
    </row>
    <row r="989" spans="1:21" ht="148.5" customHeight="1">
      <c r="A989" s="705"/>
      <c r="B989" s="584"/>
      <c r="C989" s="230">
        <f>C29+C61+C93+C125+C157+C189+C221+C253+C285+C317+C349+C381+C413+C445+C477+C509+C541+C573+C605+C637+C669+C701+C733+C765+C797+C829+C861+C893+C925+C957</f>
        <v>0</v>
      </c>
      <c r="D989" s="236">
        <f>D29+D61+D93+D125+D157+D189+D221+D253+D285+D317+D349+D381+D413+D445+D477+D509+D541+D573+D605+D637+D669+D701+D733+D765+D797+D829+D861+D893+D925+D957</f>
        <v>0</v>
      </c>
      <c r="E989" s="237">
        <f>E29+E61+E93+E125+E157+E189+E221+E253+E285+E317+E349+E381+E413+E445+E477+E509+E541+E573+E605+E637+E669+E701+E733+E765+E797+E829+E861+E893+E925+E957</f>
        <v>0</v>
      </c>
      <c r="F989" s="667"/>
      <c r="G989" s="147" t="s">
        <v>315</v>
      </c>
      <c r="H989" s="737"/>
      <c r="I989" s="656"/>
      <c r="J989" s="658"/>
      <c r="K989" s="739"/>
      <c r="L989" s="123"/>
      <c r="M989" s="240"/>
      <c r="N989" s="241"/>
      <c r="O989" s="136"/>
      <c r="P989" s="556"/>
      <c r="Q989" s="742" t="s">
        <v>174</v>
      </c>
      <c r="R989" s="743"/>
      <c r="S989" s="389">
        <f>S29+S61+S93+S125+S157+S189+S221+S253+S285+S317+S349+S381+S413+S445+S477+S509+S541+S573+S605+S637+S669+S701+S733+S765+S797+S829+S861+S893+S925+S957</f>
        <v>0</v>
      </c>
      <c r="T989" s="392"/>
      <c r="U989" s="393"/>
    </row>
    <row r="990" spans="1:21" ht="140.25" customHeight="1">
      <c r="A990" s="744" t="s">
        <v>244</v>
      </c>
      <c r="B990" s="137">
        <f>B30+B62+B94+B126+B158+B190+B222+B254+B286+B318+B350+B382+B414+B446+B478+B510+B542+B574+B606+B638+B670+B702+B734+B766+B798+B830+B862+B894+B926+B958</f>
        <v>0</v>
      </c>
      <c r="C990" s="118" t="s">
        <v>175</v>
      </c>
      <c r="D990" s="123" t="s">
        <v>176</v>
      </c>
      <c r="E990" s="245">
        <f>E30+E62+E94+E126+E158+E190+E222+E254+E286+E318+E350+E382+E414+E446+E478+E510+E542+E574+E606+E638+E670+E702+E734+E766+E798+E830+E862+E894+E926+E958</f>
        <v>0</v>
      </c>
      <c r="F990" s="667"/>
      <c r="G990" s="139">
        <f>G30+G62+G94+G126+G158+G190+G222+G254+G286+G318+G350+G382+G414+G446+G478+G510+G542+G574+G606+G638+G670+G702+G734+G766+G798+G830+G862+G894+G926+G958</f>
        <v>0</v>
      </c>
      <c r="H990" s="394">
        <f>H30+H62+H94+H126+H158+H190+H222+H254+H286+H318+H350+H382+H414+H446+H478+H510+H542+H574+H606+H638+H670+H702+H734+H766+H798+H830+H862+H894+H926+H958</f>
        <v>1</v>
      </c>
      <c r="I990" s="395">
        <f>I30+I62+I94+I126+I158+I190+I222+I254+I286+I318+I350+I382+I414+I446+I478+I510+I542+I574+I606+I638+I670+I702+I734+I766+I798+I830+I862+I894+I926+I958</f>
        <v>1</v>
      </c>
      <c r="J990" s="658"/>
      <c r="K990" s="197">
        <f aca="true" t="shared" si="96" ref="K990:P991">K30+K62+K94+K126+K158+K190+K222+K254+K286+K318+K350+K382+K414+K446+K478+K510+K542+K574+K606+K638+K670+K702+K734+K766+K798+K830+K862+K894+K926+K958</f>
        <v>1</v>
      </c>
      <c r="L990" s="142">
        <f t="shared" si="96"/>
        <v>0</v>
      </c>
      <c r="M990" s="396">
        <f t="shared" si="96"/>
        <v>0</v>
      </c>
      <c r="N990" s="142">
        <f t="shared" si="96"/>
        <v>0</v>
      </c>
      <c r="O990" s="397">
        <f t="shared" si="96"/>
        <v>0</v>
      </c>
      <c r="P990" s="398">
        <f t="shared" si="96"/>
        <v>1</v>
      </c>
      <c r="Q990" s="746" t="s">
        <v>177</v>
      </c>
      <c r="R990" s="399" t="s">
        <v>178</v>
      </c>
      <c r="S990" s="389">
        <f>S30+S62+S94+S126+S158+S190+S222+S254+S286+S318+S350+S382+S414+S446+S478+S510+S542+S574+S606+S638+S670+S702+S734+S766+S798+S830+S862+S894+S926+S958</f>
        <v>0</v>
      </c>
      <c r="T990" s="740"/>
      <c r="U990" s="648"/>
    </row>
    <row r="991" spans="1:21" ht="57.75" customHeight="1" thickBot="1">
      <c r="A991" s="744"/>
      <c r="B991" s="401">
        <f>B31+B63+B95+B127+B159+B191+B223+B255+B287+B319+B351+B383+B415+B447+B479+B511+B543+B575+B607+B639+B671+B703+B735+B767+B799+B831+B863+B895+B927+B959</f>
        <v>0</v>
      </c>
      <c r="C991" s="230">
        <f>C31+C63+C95+C127+C159+C191+C223+C255+C287+C319+C351+C383+C415+C447+C479+C511+C543+C575+C607+C639+C671+C703+C735+C767+C799+C831+C863+C895+C927+C959</f>
        <v>0</v>
      </c>
      <c r="D991" s="177" t="s">
        <v>245</v>
      </c>
      <c r="E991" s="255">
        <f>E31+E63+E95+E127+E159+E191+E223+E255+E287+E319+E351+E383+E415+E447+E479+E511+E543+E575+E607+E639+E671+E703+E735+E767+E799+E831+E863+E895+E927+E959</f>
        <v>0</v>
      </c>
      <c r="F991" s="118">
        <f>F31+F63+F95+F127+F159+F191+F223+F255+F287+F319+F351+F383+F415+F447+F479+F511+F543+F575+F607+F639+F671+F703+F735+F767+F799+F831+F863+F895+F927+F959</f>
        <v>0</v>
      </c>
      <c r="G991" s="402" t="s">
        <v>180</v>
      </c>
      <c r="H991" s="257">
        <f>H31+H63+H95+H127+H159+H191+H223+H255+H287+H319+H351+H383+H415+H447+H479+H511+H543+H575+H607+H639+H671+H703+H735+H767+H799+H831+H863+H895+H927+H959</f>
        <v>1295.6399999999999</v>
      </c>
      <c r="I991" s="233">
        <f>I31+I63+I95+I127+I159+I191+I223+I255+I287+I319+I351+I383+I415+I447+I479+I511+I543+I575+I607+I639+I671+I703+I735+I767+I799+I831+I863+I895+I927+I959</f>
        <v>1501.5</v>
      </c>
      <c r="J991" s="659"/>
      <c r="K991" s="244">
        <f t="shared" si="96"/>
        <v>205.86</v>
      </c>
      <c r="L991" s="244">
        <f t="shared" si="96"/>
        <v>0</v>
      </c>
      <c r="M991" s="244">
        <f t="shared" si="96"/>
        <v>0</v>
      </c>
      <c r="N991" s="244">
        <f t="shared" si="96"/>
        <v>0</v>
      </c>
      <c r="O991" s="244">
        <f t="shared" si="96"/>
        <v>0</v>
      </c>
      <c r="P991" s="258">
        <f t="shared" si="96"/>
        <v>205.86</v>
      </c>
      <c r="Q991" s="747"/>
      <c r="R991" s="403" t="s">
        <v>181</v>
      </c>
      <c r="S991" s="389">
        <f>S31+S63+S95+S127+S159+S191+S223+S255+S287+S319+S351+S383+S415+S447+S479+S511+S543+S575+S607+S639+S671+S703+S735+S767+S799+S831+S863+S895+S927+S959</f>
        <v>0</v>
      </c>
      <c r="T991" s="740"/>
      <c r="U991" s="648"/>
    </row>
    <row r="992" spans="1:21" ht="69.75" customHeight="1" thickBot="1" thickTop="1">
      <c r="A992" s="744"/>
      <c r="B992" s="137">
        <f>B32+B64+B96+B128+B160+B192+B224+B256+B288+B320+B352+B384+B416+B448+B480+B512+B544+B576+B608+B640+B672+B704+B736+B768+B800+B832+B864+B896+B928+B960</f>
        <v>0</v>
      </c>
      <c r="C992" s="244">
        <f>C32+C64+C96+C128+C160+C192+C224+C256+C288+C320+C352+C384+C416+C448+C480+C512+C544+C576+C608+C640+C672+C704+C736+C768+C800+C832+C864+C896+C928+C960</f>
        <v>0</v>
      </c>
      <c r="D992" s="244">
        <f>D32+D64+D96+D128+D160+D192+D224+D256+D288+D320+D352+D384+D416+D448+D480+D512+D544+D576+D608+D640+D672+D704+D736+D768+D800+D832+D864+D896+D928+D960</f>
        <v>0</v>
      </c>
      <c r="E992" s="244">
        <f>E32+E64+E96+E128+E160+E192+E224+E256+E288+E320+E352+E384+E416+E448+E480+E512+E544+E576+E608+E640+E672+E704+E736+E768+E800+E832+E864+E896+E928+E960</f>
        <v>0</v>
      </c>
      <c r="F992" s="137">
        <f>F32+F64+F96+F128+F160+F192+F224+F256+F288+F320+F352+F384+F416+F448+F480+F512+F544+F576+F608+F640+F672+F704+F736+F768+F800+F832+F864+F896+F928+F960</f>
        <v>0</v>
      </c>
      <c r="G992" s="139">
        <f>G32+G64+G96+G128+G160+G192+G224+G256+G288+G320+G352+G384+G416+G448+G480+G512+G544+G576+G608+G640+G672+G704+G736+G768+G800+G832+G864+G896+G928+G960</f>
        <v>0</v>
      </c>
      <c r="H992" s="748" t="s">
        <v>183</v>
      </c>
      <c r="I992" s="749"/>
      <c r="J992" s="749"/>
      <c r="K992" s="749"/>
      <c r="L992" s="749"/>
      <c r="M992" s="750" t="s">
        <v>184</v>
      </c>
      <c r="N992" s="751"/>
      <c r="O992" s="404" t="s">
        <v>185</v>
      </c>
      <c r="P992" s="405" t="s">
        <v>186</v>
      </c>
      <c r="Q992" s="752" t="s">
        <v>187</v>
      </c>
      <c r="R992" s="753"/>
      <c r="S992" s="406">
        <f>S32+S64+S96+S128+S160+S192+S224+S256+S288+S320+S352+S384+S416+S448+S480+S512+S544+S576+S608+S640+S672+S704+S736+S768+S800+S832+S864+S896+S928+S960</f>
        <v>0</v>
      </c>
      <c r="T992" s="107"/>
      <c r="U992" s="107"/>
    </row>
    <row r="993" spans="1:21" ht="106.5" customHeight="1" thickBot="1" thickTop="1">
      <c r="A993" s="744"/>
      <c r="B993" s="754" t="s">
        <v>188</v>
      </c>
      <c r="C993" s="755"/>
      <c r="D993" s="755"/>
      <c r="E993" s="756"/>
      <c r="F993" s="407" t="s">
        <v>189</v>
      </c>
      <c r="G993" s="266" t="s">
        <v>246</v>
      </c>
      <c r="H993" s="408" t="s">
        <v>191</v>
      </c>
      <c r="I993" s="409" t="s">
        <v>192</v>
      </c>
      <c r="J993" s="135" t="s">
        <v>193</v>
      </c>
      <c r="K993" s="124" t="s">
        <v>194</v>
      </c>
      <c r="L993" s="410" t="s">
        <v>195</v>
      </c>
      <c r="M993" s="373" t="s">
        <v>196</v>
      </c>
      <c r="N993" s="411" t="s">
        <v>197</v>
      </c>
      <c r="O993" s="412" t="s">
        <v>198</v>
      </c>
      <c r="P993" s="273" t="s">
        <v>199</v>
      </c>
      <c r="Q993" s="413" t="s">
        <v>200</v>
      </c>
      <c r="R993" s="275" t="s">
        <v>201</v>
      </c>
      <c r="S993" s="414">
        <f>S33+S65+S97+S129+S161+S193+S225+S257+S289+S321+S353+S385+S417+S449+S481+S513+S545+S577+S609+S641+S673+S705+S737+S769+S801+S833+S865+S897+S929+S961</f>
        <v>1296</v>
      </c>
      <c r="T993" s="757" t="s">
        <v>247</v>
      </c>
      <c r="U993" s="758"/>
    </row>
    <row r="994" spans="1:21" ht="150.75" customHeight="1" thickTop="1">
      <c r="A994" s="744"/>
      <c r="B994" s="279" t="s">
        <v>202</v>
      </c>
      <c r="C994" s="279" t="s">
        <v>203</v>
      </c>
      <c r="D994" s="279" t="s">
        <v>204</v>
      </c>
      <c r="E994" s="279" t="s">
        <v>205</v>
      </c>
      <c r="F994" s="279" t="s">
        <v>206</v>
      </c>
      <c r="G994" s="280">
        <f>G34+G66+G98+G130+G162+G194+G226+G258+G290+G322+G354+G386+G418+G450+G482+G514+G546+G578+G610+G642+G674+G706+G738+G770+G802+G834+G866+G898+G930+G962</f>
        <v>0</v>
      </c>
      <c r="H994" s="281">
        <f aca="true" t="shared" si="97" ref="H994:Q995">H34+H66+H98+H130+H162+H194+H226+H258+H290+H322+H354+H386+H418+H450+H482+H514+H546+H578+H610+H642+H674+H706+H738+H770+H802+H834+H866+H898+H930+H962</f>
        <v>1501.5</v>
      </c>
      <c r="I994" s="282">
        <f t="shared" si="97"/>
        <v>1501.5</v>
      </c>
      <c r="J994" s="282">
        <f t="shared" si="97"/>
        <v>1501.5</v>
      </c>
      <c r="K994" s="282">
        <f t="shared" si="97"/>
        <v>1501.5</v>
      </c>
      <c r="L994" s="283">
        <f t="shared" si="97"/>
        <v>1295.6399999999999</v>
      </c>
      <c r="M994" s="284">
        <f t="shared" si="97"/>
        <v>0</v>
      </c>
      <c r="N994" s="285">
        <f t="shared" si="97"/>
        <v>0</v>
      </c>
      <c r="O994" s="286">
        <f t="shared" si="97"/>
        <v>205.86</v>
      </c>
      <c r="P994" s="287">
        <f t="shared" si="97"/>
        <v>1</v>
      </c>
      <c r="Q994" s="288">
        <f t="shared" si="97"/>
        <v>100.41</v>
      </c>
      <c r="R994" s="761" t="s">
        <v>207</v>
      </c>
      <c r="S994" s="763" t="s">
        <v>311</v>
      </c>
      <c r="T994" s="759"/>
      <c r="U994" s="760"/>
    </row>
    <row r="995" spans="1:21" ht="71.25" customHeight="1">
      <c r="A995" s="744"/>
      <c r="B995" s="158">
        <f>IF(H994&gt;0,B$2,0)</f>
        <v>0.0976</v>
      </c>
      <c r="C995" s="158">
        <f>IF(I994&gt;0,H$4,0)</f>
        <v>0.015</v>
      </c>
      <c r="D995" s="158">
        <f>IF(J994&gt;0,F$2,0)</f>
        <v>0.0245</v>
      </c>
      <c r="E995" s="158" t="s">
        <v>208</v>
      </c>
      <c r="F995" s="290" t="s">
        <v>209</v>
      </c>
      <c r="G995" s="291">
        <f>G35+G67+G99+G131+G163+G195+G227+G259+G291+G323+G355+G387+G419+G451+G483+G515+G547+G579+G611+G643+G675+G707+G739+G771+G803+G835+G867+G899+G931+G963</f>
        <v>0</v>
      </c>
      <c r="H995" s="765" t="s">
        <v>210</v>
      </c>
      <c r="I995" s="614"/>
      <c r="J995" s="614"/>
      <c r="K995" s="614"/>
      <c r="L995" s="614"/>
      <c r="M995" s="415" t="s">
        <v>211</v>
      </c>
      <c r="N995" s="416" t="s">
        <v>212</v>
      </c>
      <c r="O995" s="412" t="s">
        <v>213</v>
      </c>
      <c r="P995" s="52">
        <f t="shared" si="97"/>
        <v>36.79</v>
      </c>
      <c r="Q995" s="295" t="s">
        <v>214</v>
      </c>
      <c r="R995" s="762"/>
      <c r="S995" s="764"/>
      <c r="T995" s="766">
        <f>IF(B999&gt;0,M986/B999,0)</f>
        <v>0</v>
      </c>
      <c r="U995" s="767"/>
    </row>
    <row r="996" spans="1:21" ht="57" customHeight="1" thickBot="1">
      <c r="A996" s="744"/>
      <c r="B996" s="158">
        <f>IF(H994&gt;0,B$2,0)</f>
        <v>0.0976</v>
      </c>
      <c r="C996" s="158">
        <f>IF(I994&gt;0,D$2,0)</f>
        <v>0.045</v>
      </c>
      <c r="D996" s="158" t="s">
        <v>208</v>
      </c>
      <c r="E996" s="158">
        <f>IF(K994&gt;0,H$2,0)</f>
        <v>0.0167</v>
      </c>
      <c r="F996" s="158">
        <f>IF(L994&gt;0,J$2,0)</f>
        <v>0.09</v>
      </c>
      <c r="G996" s="158">
        <f>IF(G995&gt;0,L$1,0)</f>
        <v>0</v>
      </c>
      <c r="H996" s="408" t="s">
        <v>215</v>
      </c>
      <c r="I996" s="409" t="s">
        <v>215</v>
      </c>
      <c r="J996" s="409" t="s">
        <v>215</v>
      </c>
      <c r="K996" s="135" t="s">
        <v>209</v>
      </c>
      <c r="L996" s="417" t="s">
        <v>215</v>
      </c>
      <c r="M996" s="300">
        <f>M36+M68+M100+M132+M164+M196+M228+M260+M292+M324+M356+M388+M420+M452+M484+M516+M548+M580+M612+M644+M676+M708+M740+M772+M804+M836+M868+M900+M932+M964</f>
        <v>0</v>
      </c>
      <c r="N996" s="301">
        <f>N36+N68+N100+N132+N164+N196+N228+N260+N292+N324+N356+N388+N420+N452+N484+N516+N548+N580+N612+N644+N676+N708+N740+N772+N804+N836+N868+N900+N932+N964</f>
        <v>0</v>
      </c>
      <c r="O996" s="302">
        <f>O36+O68+O100+O132+O164+O196+O228+O260+O292+O324+O356+O388+O420+O452+O484+O516+O548+O580+O612+O644+O676+O708+O740+O772+O804+O836+O868+O900+O932+O964</f>
        <v>239.2</v>
      </c>
      <c r="P996" s="303" t="s">
        <v>216</v>
      </c>
      <c r="Q996" s="304">
        <f>Q36+Q68+Q100+Q132+Q164+Q196+Q228+Q260+Q292+Q324+Q356+Q388+Q420+Q452+Q484+Q516+Q548+Q580+Q612+Q644+Q676+Q708+Q740+Q772+Q804+Q836+Q868+Q900+Q932+Q964</f>
        <v>116.61</v>
      </c>
      <c r="R996" s="418" t="s">
        <v>217</v>
      </c>
      <c r="S996" s="764"/>
      <c r="T996" s="757" t="s">
        <v>248</v>
      </c>
      <c r="U996" s="758"/>
    </row>
    <row r="997" spans="1:21" ht="82.5" customHeight="1" thickBot="1" thickTop="1">
      <c r="A997" s="744"/>
      <c r="B997" s="141">
        <f aca="true" t="shared" si="98" ref="B997:J997">B37+B69+B101+B133+B165+B197+B229+B261+B293+B325+B357+B389+B421+B453+B485+B517+B549+B581+B613+B645+B677+B709+B741+B773+B805+B837+B869+B901+B933+B965</f>
        <v>1</v>
      </c>
      <c r="C997" s="141">
        <f t="shared" si="98"/>
        <v>1</v>
      </c>
      <c r="D997" s="141">
        <f t="shared" si="98"/>
        <v>1</v>
      </c>
      <c r="E997" s="141">
        <f t="shared" si="98"/>
        <v>1</v>
      </c>
      <c r="F997" s="141">
        <f t="shared" si="98"/>
        <v>1</v>
      </c>
      <c r="G997" s="141">
        <f t="shared" si="98"/>
        <v>0</v>
      </c>
      <c r="H997" s="306">
        <f t="shared" si="98"/>
        <v>146.55</v>
      </c>
      <c r="I997" s="307">
        <f t="shared" si="98"/>
        <v>22.52</v>
      </c>
      <c r="J997" s="307">
        <f t="shared" si="98"/>
        <v>36.79</v>
      </c>
      <c r="K997" s="244" t="s">
        <v>209</v>
      </c>
      <c r="L997" s="307">
        <f>L37+L69+L101+L133+L165+L197+L229+L261+L293+L325+L357+L389+L421+L453+L485+L517+L549+L581+L613+L645+L677+L709+L741+L773+L805+L837+L869+L901+L933+L965</f>
        <v>0</v>
      </c>
      <c r="M997" s="768" t="s">
        <v>218</v>
      </c>
      <c r="N997" s="769"/>
      <c r="O997" s="770" t="s">
        <v>219</v>
      </c>
      <c r="P997" s="419">
        <f>P37+P69+P101+P133+P165+P197+P229+P261+P293+P325+P357+P389+P421+P453+P485+P517+P549+P581+P613+P645+P677+P709+P741+P773+P805+P837+P869+P901+P933+P965</f>
        <v>1</v>
      </c>
      <c r="Q997" s="309" t="s">
        <v>220</v>
      </c>
      <c r="R997" s="310">
        <f>R37+R69+R101+R133+R165+R197+R229+R261+R293+R325+R357+R389+R421+R453+R485+R517+R549+R581+R613+R645+R677+R709+R741+R773+R805+R837+R869+R901+R933+R965</f>
        <v>1386</v>
      </c>
      <c r="S997" s="389">
        <f>S37+S69+S101+S133+S165+S197+S229+S261+S293+S325+S357+S389+S421+S453+S485+S517+S549+S581+S613+S645+S677+S709+S741+S773+S805+S837+S869+S901+S933+S965</f>
        <v>0</v>
      </c>
      <c r="T997" s="759"/>
      <c r="U997" s="760"/>
    </row>
    <row r="998" spans="1:21" ht="102" customHeight="1" thickBot="1" thickTop="1">
      <c r="A998" s="744"/>
      <c r="B998" s="238" t="s">
        <v>221</v>
      </c>
      <c r="C998" s="238" t="s">
        <v>222</v>
      </c>
      <c r="D998" s="238" t="s">
        <v>34</v>
      </c>
      <c r="E998" s="199" t="s">
        <v>223</v>
      </c>
      <c r="F998" s="420" t="s">
        <v>249</v>
      </c>
      <c r="G998" s="421">
        <f>G38+G70+G102+G134+G166+G198+G230+G262+G294+G326+G358+G390+G422+G454+G486+G518+G550+G582+G614+G646+G678+G710+G742+G774+G806+G838+G870+G902+G934+G966</f>
        <v>100.41</v>
      </c>
      <c r="H998" s="422" t="s">
        <v>225</v>
      </c>
      <c r="I998" s="124" t="s">
        <v>225</v>
      </c>
      <c r="J998" s="135" t="s">
        <v>209</v>
      </c>
      <c r="K998" s="124" t="s">
        <v>225</v>
      </c>
      <c r="L998" s="423" t="s">
        <v>226</v>
      </c>
      <c r="M998" s="424" t="s">
        <v>227</v>
      </c>
      <c r="N998" s="425" t="s">
        <v>228</v>
      </c>
      <c r="O998" s="771"/>
      <c r="P998" s="319">
        <f aca="true" t="shared" si="99" ref="P998:S999">P38+P70+P102+P134+P166+P198+P230+P262+P294+P326+P358+P390+P422+P454+P486+P518+P550+P582+P614+P646+P678+P710+P742+P774+P806+P838+P870+P902+P934+P966</f>
        <v>1.5</v>
      </c>
      <c r="Q998" s="320">
        <f t="shared" si="99"/>
        <v>0</v>
      </c>
      <c r="R998" s="426" t="s">
        <v>229</v>
      </c>
      <c r="S998" s="427" t="s">
        <v>230</v>
      </c>
      <c r="T998" s="766">
        <f>IF(B999&gt;0,S999/B999,0)</f>
        <v>0</v>
      </c>
      <c r="U998" s="767"/>
    </row>
    <row r="999" spans="1:21" ht="57" customHeight="1" thickBot="1" thickTop="1">
      <c r="A999" s="745"/>
      <c r="B999" s="324">
        <f>B39+B71+B103+B135+B167+B199+B231+B263+B295+B327+B359+B391+B423+B455+B487+B519+B551+B583+B615+B647+B679+B711+B743+B775+B807+B839+B871+B903+B935+B967</f>
        <v>0</v>
      </c>
      <c r="C999" s="324">
        <f>C39+C71+C103+C135+C167+C199+C231+C263+C295+C327+C359+C391+C423+C455+C487+C519+C551+C583+C615+C647+C679+C711+C743+C775+C807+C839+C871+C903+C935+C967</f>
        <v>0</v>
      </c>
      <c r="D999" s="324">
        <f>D39+D71+D103+D135+D167+D199+D231+D263+D295+D327+D359+D391+D423+D455+D487+D519+D551+D583+D615+D647+D679+D711+D743+D775+D807+D839+D871+D903+D935+D967</f>
        <v>0</v>
      </c>
      <c r="E999" s="325">
        <f>E39+E71+E103+E135+E167+E199+E231+E263+E295+E327+E359+E391+E423+E455+E487+E519+E551+E583+E615+E647+E679+E711+E743+E775+E807+E839+E871+E903+E935+E967</f>
        <v>0</v>
      </c>
      <c r="F999" s="326">
        <f>F39+F71+F103+F135+F167+F199+F231+F263+F295+F327+F359+F391+F423+F455+F487+F519+F551+F583+F615+F647+F679+F711+F743+F775+F807+F839+F871+F903+F935+F967</f>
        <v>483.35</v>
      </c>
      <c r="G999" s="428">
        <f>G39+G71+G103+G135+G167+G199+G231+G263+G295+G327+G359+G391+G423+G455+G487+G519+G551+G583+G615+G647+G679+G711+G743+G775+G807+G839+G871+G903+G935+G967</f>
        <v>1</v>
      </c>
      <c r="H999" s="328">
        <f>H39+H71+H103+H135+H167+H199+H231+H263+H295+H327+H359+H391+H423+H455+H487+H519+H551+H583+H615+H647+H679+H711+H743+H775+H807+H839+H871+H903+H935+H967</f>
        <v>146.55</v>
      </c>
      <c r="I999" s="329">
        <f>I39+I71+I103+I135+I167+I199+I231+I263+I295+I327+I359+I391+I423+I455+I487+I519+I551+I583+I615+I647+I679+I711+I743+I775+I807+I839+I871+I903+I935+I967</f>
        <v>67.57</v>
      </c>
      <c r="J999" s="182" t="s">
        <v>209</v>
      </c>
      <c r="K999" s="330">
        <f>K39+K71+K103+K135+K167+K199+K231+K263+K295+K327+K359+K391+K423+K455+K487+K519+K551+K583+K615+K647+K679+K711+K743+K775+K807+K839+K871+K903+K935+K967</f>
        <v>25.08</v>
      </c>
      <c r="L999" s="185">
        <f>L39+L71+L103+L135+L167+L199+L231+L263+L295+L327+L359+L391+L423+L455+L487+L519+L551+L583+L615+L647+L679+L711+L743+L775+L807+L839+L871+L903+L935+L967</f>
        <v>0</v>
      </c>
      <c r="M999" s="179">
        <f>M39+M71+M103+M135+M167+M199+M231+M263+M295+M327+M359+M391+M423+M455+M487+M519+M551+M583+M615+M647+M679+M711+M743+M775+M807+M839+M871+M903+M935+M967</f>
        <v>445.06</v>
      </c>
      <c r="N999" s="331">
        <f>N39+N71+N103+N135+N167+N199+N231+N263+N295+N327+N359+N391+N423+N455+N487+N519+N551+N583+N615+N647+N679+N711+N743+N775+N807+N839+N871+N903+N935+N967</f>
        <v>445.06</v>
      </c>
      <c r="O999" s="332">
        <f>O39+O71+O103+O135+O167+O199+O231+O263+O295+O327+O359+O391+O423+O455+O487+O519+O551+O583+O615+O647+O679+O711+O743+O775+O807+O839+O871+O903+O935+O967</f>
        <v>0</v>
      </c>
      <c r="P999" s="333">
        <f t="shared" si="99"/>
        <v>205.86</v>
      </c>
      <c r="Q999" s="334">
        <f t="shared" si="99"/>
        <v>0</v>
      </c>
      <c r="R999" s="335">
        <f t="shared" si="99"/>
        <v>1386</v>
      </c>
      <c r="S999" s="429">
        <f t="shared" si="99"/>
        <v>1295.6399999999999</v>
      </c>
      <c r="T999" s="694"/>
      <c r="U999" s="694"/>
    </row>
    <row r="1000" spans="1:21" ht="78.75" customHeight="1" thickBot="1" thickTop="1">
      <c r="A1000" s="772" t="s">
        <v>250</v>
      </c>
      <c r="B1000" s="773"/>
      <c r="C1000" s="773"/>
      <c r="D1000" s="773"/>
      <c r="E1000" s="773"/>
      <c r="F1000" s="773"/>
      <c r="G1000" s="773"/>
      <c r="H1000" s="773"/>
      <c r="I1000" s="773"/>
      <c r="J1000" s="773"/>
      <c r="K1000" s="773"/>
      <c r="L1000" s="773"/>
      <c r="M1000" s="773"/>
      <c r="N1000" s="773"/>
      <c r="O1000" s="773"/>
      <c r="P1000" s="773"/>
      <c r="Q1000" s="773"/>
      <c r="R1000" s="774" t="str">
        <f>M6</f>
        <v>1-I/2011</v>
      </c>
      <c r="S1000" s="774"/>
      <c r="T1000" s="774"/>
      <c r="U1000" s="775"/>
    </row>
    <row r="1001" spans="1:21" ht="210" customHeight="1" thickBot="1">
      <c r="A1001" s="776" t="s">
        <v>251</v>
      </c>
      <c r="B1001" s="779" t="s">
        <v>252</v>
      </c>
      <c r="C1001" s="780"/>
      <c r="D1001" s="780"/>
      <c r="E1001" s="780"/>
      <c r="F1001" s="780"/>
      <c r="G1001" s="780"/>
      <c r="H1001" s="780"/>
      <c r="I1001" s="781" t="str">
        <f>L8</f>
        <v>styczeń</v>
      </c>
      <c r="J1001" s="781"/>
      <c r="K1001" s="781"/>
      <c r="L1001" s="781"/>
      <c r="M1001" s="782" t="str">
        <f>N8</f>
        <v>2011 r.</v>
      </c>
      <c r="N1001" s="783"/>
      <c r="O1001" s="784" t="s">
        <v>316</v>
      </c>
      <c r="P1001" s="785"/>
      <c r="Q1001" s="788">
        <f>N7</f>
        <v>0</v>
      </c>
      <c r="R1001" s="789"/>
      <c r="S1001" s="789"/>
      <c r="T1001" s="789"/>
      <c r="U1001" s="790"/>
    </row>
    <row r="1002" spans="1:21" ht="117" customHeight="1" thickBot="1">
      <c r="A1002" s="777"/>
      <c r="B1002" s="791" t="s">
        <v>253</v>
      </c>
      <c r="C1002" s="792"/>
      <c r="D1002" s="792"/>
      <c r="E1002" s="792"/>
      <c r="F1002" s="792"/>
      <c r="G1002" s="792"/>
      <c r="H1002" s="792"/>
      <c r="I1002" s="793" t="str">
        <f>S1004</f>
        <v>styczeń</v>
      </c>
      <c r="J1002" s="793"/>
      <c r="K1002" s="793"/>
      <c r="L1002" s="793"/>
      <c r="M1002" s="793" t="s">
        <v>70</v>
      </c>
      <c r="N1002" s="794"/>
      <c r="O1002" s="786"/>
      <c r="P1002" s="787"/>
      <c r="Q1002" s="795" t="s">
        <v>254</v>
      </c>
      <c r="R1002" s="795"/>
      <c r="S1002" s="797" t="str">
        <f>L8</f>
        <v>styczeń</v>
      </c>
      <c r="T1002" s="797"/>
      <c r="U1002" s="798"/>
    </row>
    <row r="1003" spans="1:21" ht="51" customHeight="1" thickBot="1">
      <c r="A1003" s="777"/>
      <c r="B1003" s="430"/>
      <c r="K1003" s="799"/>
      <c r="L1003" s="799"/>
      <c r="M1003" s="800"/>
      <c r="N1003" s="801"/>
      <c r="O1003" s="431" t="s">
        <v>255</v>
      </c>
      <c r="P1003" s="432">
        <f>B997+D1006+'[1]Li-pł zlec'!C131+IF(Q998&gt;0,1,0)</f>
        <v>1</v>
      </c>
      <c r="Q1003" s="796"/>
      <c r="R1003" s="795"/>
      <c r="S1003" s="797"/>
      <c r="T1003" s="797"/>
      <c r="U1003" s="798"/>
    </row>
    <row r="1004" spans="1:21" ht="65.25" customHeight="1" thickBot="1">
      <c r="A1004" s="777"/>
      <c r="B1004" s="804" t="s">
        <v>256</v>
      </c>
      <c r="C1004" s="805"/>
      <c r="D1004" s="805"/>
      <c r="E1004" s="805"/>
      <c r="F1004" s="805"/>
      <c r="G1004" s="806"/>
      <c r="H1004" s="433"/>
      <c r="I1004" s="433"/>
      <c r="J1004" s="433"/>
      <c r="K1004" s="799"/>
      <c r="L1004" s="799"/>
      <c r="M1004" s="802"/>
      <c r="N1004" s="803"/>
      <c r="O1004" s="355" t="s">
        <v>257</v>
      </c>
      <c r="P1004" s="434">
        <f>C997+D1007+'[1]Li-pł zlec'!D131</f>
        <v>1</v>
      </c>
      <c r="Q1004" s="796" t="s">
        <v>258</v>
      </c>
      <c r="R1004" s="795"/>
      <c r="S1004" s="797" t="str">
        <f>S1002</f>
        <v>styczeń</v>
      </c>
      <c r="T1004" s="797"/>
      <c r="U1004" s="798"/>
    </row>
    <row r="1005" spans="1:21" ht="69" customHeight="1" thickBot="1">
      <c r="A1005" s="777"/>
      <c r="B1005" s="435" t="s">
        <v>259</v>
      </c>
      <c r="C1005" s="436">
        <f>$F$3</f>
        <v>3359</v>
      </c>
      <c r="D1005" s="807">
        <f>IF(G1007&gt;0,ROUND(((ROUND((C1005*60%),2)/G1006)*(G1006-G1007)),2),ROUND((C1005*60%),2))</f>
        <v>2015.4</v>
      </c>
      <c r="E1005" s="808"/>
      <c r="F1005" s="80">
        <v>2704.31</v>
      </c>
      <c r="G1005" s="437" t="str">
        <f>I1002</f>
        <v>styczeń</v>
      </c>
      <c r="H1005" s="809" t="s">
        <v>260</v>
      </c>
      <c r="I1005" s="810"/>
      <c r="J1005" s="810"/>
      <c r="K1005" s="810"/>
      <c r="L1005" s="810"/>
      <c r="M1005" s="810"/>
      <c r="N1005" s="811"/>
      <c r="O1005" s="438" t="s">
        <v>261</v>
      </c>
      <c r="P1005" s="434">
        <f>E997+D1009+'[1]Li-pł zlec'!F134</f>
        <v>1</v>
      </c>
      <c r="Q1005" s="796"/>
      <c r="R1005" s="795"/>
      <c r="S1005" s="797"/>
      <c r="T1005" s="797"/>
      <c r="U1005" s="798"/>
    </row>
    <row r="1006" spans="1:21" ht="73.5" customHeight="1" thickBot="1">
      <c r="A1006" s="777"/>
      <c r="B1006" s="439">
        <f>$B$2*2</f>
        <v>0.1952</v>
      </c>
      <c r="C1006" s="440">
        <f>ROUND((D1005*B1006),2)</f>
        <v>393.41</v>
      </c>
      <c r="D1006" s="441">
        <v>0</v>
      </c>
      <c r="E1006" s="442">
        <f aca="true" t="shared" si="100" ref="E1006:E1011">C1006*D1006</f>
        <v>0</v>
      </c>
      <c r="F1006" s="443" t="s">
        <v>262</v>
      </c>
      <c r="G1006" s="444">
        <f>IF(I1002="styczeń",31,0)+IF(I1002="luty",28,0)+IF(I1002="marzec",31,0)+IF(I1002="kwiecień",30,0)+IF(I1002="maj",31,0)+IF(I1002="czerwiec",30,0)+IF(I1002="lipiec",31,0)+IF(I1002="sierpień",31,0)+IF(I1002="wrzesień",30,0)+IF(I1002="październik",31,0)+IF(I1002="listopad",30,0)+IF(I1002="grudzień",31,0)</f>
        <v>31</v>
      </c>
      <c r="H1006" s="445" t="s">
        <v>263</v>
      </c>
      <c r="I1006" s="446" t="s">
        <v>264</v>
      </c>
      <c r="J1006" s="446" t="s">
        <v>265</v>
      </c>
      <c r="K1006" s="446" t="s">
        <v>266</v>
      </c>
      <c r="L1006" s="447" t="s">
        <v>267</v>
      </c>
      <c r="M1006" s="812" t="s">
        <v>268</v>
      </c>
      <c r="N1006" s="813"/>
      <c r="O1006" s="448" t="s">
        <v>269</v>
      </c>
      <c r="P1006" s="449">
        <f>F997+D1010+'[1]Li-pł zlec'!G131+IF(Q998&gt;0,1,0)</f>
        <v>1</v>
      </c>
      <c r="Q1006" s="796" t="s">
        <v>270</v>
      </c>
      <c r="R1006" s="795"/>
      <c r="S1006" s="797" t="str">
        <f>S1004</f>
        <v>styczeń</v>
      </c>
      <c r="T1006" s="797"/>
      <c r="U1006" s="798"/>
    </row>
    <row r="1007" spans="1:21" ht="99" customHeight="1" thickBot="1">
      <c r="A1007" s="777"/>
      <c r="B1007" s="439">
        <f>D2+H4</f>
        <v>0.06</v>
      </c>
      <c r="C1007" s="440">
        <f>ROUND((D1005*B1007),2)</f>
        <v>120.92</v>
      </c>
      <c r="D1007" s="441">
        <f>IF(C1007&gt;0,D1006,0)</f>
        <v>0</v>
      </c>
      <c r="E1007" s="442">
        <f t="shared" si="100"/>
        <v>0</v>
      </c>
      <c r="F1007" s="443" t="s">
        <v>271</v>
      </c>
      <c r="G1007" s="444"/>
      <c r="H1007" s="450" t="s">
        <v>272</v>
      </c>
      <c r="I1007" s="450" t="s">
        <v>272</v>
      </c>
      <c r="J1007" s="450" t="s">
        <v>272</v>
      </c>
      <c r="K1007" s="450" t="s">
        <v>272</v>
      </c>
      <c r="L1007" s="451" t="s">
        <v>273</v>
      </c>
      <c r="M1007" s="452">
        <f>G995</f>
        <v>0</v>
      </c>
      <c r="N1007" s="453">
        <f>G994</f>
        <v>0</v>
      </c>
      <c r="O1007" s="814" t="s">
        <v>274</v>
      </c>
      <c r="P1007" s="815"/>
      <c r="Q1007" s="796"/>
      <c r="R1007" s="795"/>
      <c r="S1007" s="797"/>
      <c r="T1007" s="797"/>
      <c r="U1007" s="798"/>
    </row>
    <row r="1008" spans="1:21" ht="51" customHeight="1" thickBot="1">
      <c r="A1008" s="777"/>
      <c r="B1008" s="439">
        <f>$F$2</f>
        <v>0.0245</v>
      </c>
      <c r="C1008" s="440">
        <f>ROUND((D1005*B1008),2)</f>
        <v>49.38</v>
      </c>
      <c r="D1008" s="441">
        <f>IF(C1008&gt;0,D1006,0)</f>
        <v>0</v>
      </c>
      <c r="E1008" s="442">
        <f t="shared" si="100"/>
        <v>0</v>
      </c>
      <c r="F1008" s="400"/>
      <c r="G1008" s="454"/>
      <c r="H1008" s="455">
        <f>H997+'[1]Li-pł zlec'!C144</f>
        <v>146.55</v>
      </c>
      <c r="I1008" s="456">
        <f>I997+'[1]Li-pł zlec'!D144</f>
        <v>22.52</v>
      </c>
      <c r="J1008" s="456">
        <f>J997+E1008+'[1]Li-pł zlec'!E144</f>
        <v>36.79</v>
      </c>
      <c r="K1008" s="457" t="s">
        <v>209</v>
      </c>
      <c r="L1008" s="458">
        <f>E1010+L997+'[1]Li-pł zlec'!G144</f>
        <v>0</v>
      </c>
      <c r="M1008" s="459" t="s">
        <v>199</v>
      </c>
      <c r="N1008" s="460" t="s">
        <v>216</v>
      </c>
      <c r="O1008" s="816">
        <f>K982+'[1]Li-pł zlec'!P141+'[1]Li-pł zlec'!P146</f>
        <v>0</v>
      </c>
      <c r="P1008" s="817"/>
      <c r="U1008" s="461"/>
    </row>
    <row r="1009" spans="1:21" ht="51.75" customHeight="1">
      <c r="A1009" s="777"/>
      <c r="B1009" s="439">
        <f>$H$2</f>
        <v>0.0167</v>
      </c>
      <c r="C1009" s="440">
        <f>ROUND((D1005*B1009),2)</f>
        <v>33.66</v>
      </c>
      <c r="D1009" s="441">
        <f>IF(C1009&gt;0,D1006,0)</f>
        <v>0</v>
      </c>
      <c r="E1009" s="442">
        <f t="shared" si="100"/>
        <v>0</v>
      </c>
      <c r="F1009" s="818" t="s">
        <v>275</v>
      </c>
      <c r="G1009" s="819"/>
      <c r="H1009" s="305" t="s">
        <v>276</v>
      </c>
      <c r="I1009" s="462" t="s">
        <v>276</v>
      </c>
      <c r="J1009" s="462" t="s">
        <v>209</v>
      </c>
      <c r="K1009" s="462" t="s">
        <v>276</v>
      </c>
      <c r="L1009" s="463" t="s">
        <v>277</v>
      </c>
      <c r="M1009" s="464" t="s">
        <v>276</v>
      </c>
      <c r="N1009" s="465" t="s">
        <v>276</v>
      </c>
      <c r="O1009" s="820" t="s">
        <v>278</v>
      </c>
      <c r="P1009" s="821"/>
      <c r="Q1009" s="822" t="s">
        <v>279</v>
      </c>
      <c r="R1009" s="823"/>
      <c r="S1009" s="823"/>
      <c r="T1009" s="824" t="s">
        <v>280</v>
      </c>
      <c r="U1009" s="825"/>
    </row>
    <row r="1010" spans="1:21" ht="57.75" customHeight="1" thickBot="1">
      <c r="A1010" s="777"/>
      <c r="B1010" s="439">
        <f>$J$2</f>
        <v>0.09</v>
      </c>
      <c r="C1010" s="440">
        <f>ROUND((F1005*B1010),2)</f>
        <v>243.39</v>
      </c>
      <c r="D1010" s="441">
        <f>IF(C1010&gt;0,D1006,0)</f>
        <v>0</v>
      </c>
      <c r="E1010" s="442">
        <f t="shared" si="100"/>
        <v>0</v>
      </c>
      <c r="F1010" s="466">
        <v>0.0775</v>
      </c>
      <c r="G1010" s="437">
        <f>ROUND((F1005*$R$3*D1010),2)</f>
        <v>0</v>
      </c>
      <c r="H1010" s="467">
        <f>E1006+H999+'[1]Li-pł zlec'!C147</f>
        <v>146.55</v>
      </c>
      <c r="I1010" s="468">
        <f>E1007+I999+'[1]Li-pł zlec'!D147</f>
        <v>67.57</v>
      </c>
      <c r="J1010" s="469" t="s">
        <v>209</v>
      </c>
      <c r="K1010" s="468">
        <f>E1009+K999+'[1]Li-pł zlec'!F147</f>
        <v>25.08</v>
      </c>
      <c r="L1010" s="470">
        <f>L999+G1010+'[1]Li-pł zlec'!G144-'[1]Li-pł zlec'!S147</f>
        <v>0</v>
      </c>
      <c r="M1010" s="471">
        <f>E1011+P995+'[1]Li-pł zlec'!H144</f>
        <v>36.79</v>
      </c>
      <c r="N1010" s="472">
        <f>P998+'[1]Li-pł zlec'!H147</f>
        <v>1.5</v>
      </c>
      <c r="O1010" s="826">
        <f>O1011-O1008</f>
        <v>483.35</v>
      </c>
      <c r="P1010" s="827"/>
      <c r="Q1010" s="473" t="s">
        <v>263</v>
      </c>
      <c r="R1010" s="474" t="s">
        <v>264</v>
      </c>
      <c r="S1010" s="474" t="s">
        <v>267</v>
      </c>
      <c r="T1010" s="824"/>
      <c r="U1010" s="825"/>
    </row>
    <row r="1011" spans="1:21" ht="86.25" customHeight="1" thickBot="1">
      <c r="A1011" s="778"/>
      <c r="B1011" s="475">
        <f>$L$2</f>
        <v>0.0245</v>
      </c>
      <c r="C1011" s="476">
        <f>ROUND((D1005*B1011),2)</f>
        <v>49.38</v>
      </c>
      <c r="D1011" s="441">
        <f>IF(C1011&gt;0,D1006,0)</f>
        <v>0</v>
      </c>
      <c r="E1011" s="442">
        <f t="shared" si="100"/>
        <v>0</v>
      </c>
      <c r="F1011" s="97">
        <f>SUM(E1006:E1011)</f>
        <v>0</v>
      </c>
      <c r="G1011" s="454"/>
      <c r="H1011" s="477">
        <f>H1008+H1010</f>
        <v>293.1</v>
      </c>
      <c r="I1011" s="478">
        <f>I1008+I1010</f>
        <v>90.08999999999999</v>
      </c>
      <c r="J1011" s="478">
        <f>J1008</f>
        <v>36.79</v>
      </c>
      <c r="K1011" s="478">
        <f>K1010</f>
        <v>25.08</v>
      </c>
      <c r="L1011" s="478">
        <f>L1008</f>
        <v>0</v>
      </c>
      <c r="M1011" s="479">
        <f>M1010</f>
        <v>36.79</v>
      </c>
      <c r="N1011" s="479">
        <f>N1010</f>
        <v>1.5</v>
      </c>
      <c r="O1011" s="828">
        <f>H1011+I1011+J1011+K1011+L1011+M1011+N1011+N1007</f>
        <v>483.35</v>
      </c>
      <c r="P1011" s="829"/>
      <c r="Q1011" s="480">
        <f>M996</f>
        <v>0</v>
      </c>
      <c r="R1011" s="481">
        <f>N996</f>
        <v>0</v>
      </c>
      <c r="S1011" s="481">
        <f>Q999</f>
        <v>0</v>
      </c>
      <c r="T1011" s="76" t="s">
        <v>281</v>
      </c>
      <c r="U1011" s="482">
        <f>O991</f>
        <v>0</v>
      </c>
    </row>
    <row r="1012" spans="1:21" ht="137.25" customHeight="1">
      <c r="A1012" s="430"/>
      <c r="D1012" s="830" t="s">
        <v>282</v>
      </c>
      <c r="E1012" s="830"/>
      <c r="F1012" s="830"/>
      <c r="G1012" s="830"/>
      <c r="H1012" s="483">
        <f>H1011+Q1011</f>
        <v>293.1</v>
      </c>
      <c r="I1012" s="483">
        <f>I1011+R1011</f>
        <v>90.08999999999999</v>
      </c>
      <c r="J1012" s="483">
        <f>J1011</f>
        <v>36.79</v>
      </c>
      <c r="K1012" s="483">
        <f>K1011</f>
        <v>25.08</v>
      </c>
      <c r="L1012" s="483">
        <f>L1011+S1011</f>
        <v>0</v>
      </c>
      <c r="M1012" s="831" t="s">
        <v>283</v>
      </c>
      <c r="N1012" s="831"/>
      <c r="O1012" s="832">
        <f>R1012+U1012</f>
        <v>1778.99</v>
      </c>
      <c r="P1012" s="832"/>
      <c r="Q1012" s="484" t="s">
        <v>284</v>
      </c>
      <c r="R1012" s="833">
        <f>I991+O996+P995+P998-K982</f>
        <v>1778.99</v>
      </c>
      <c r="S1012" s="833"/>
      <c r="T1012" s="484" t="s">
        <v>285</v>
      </c>
      <c r="U1012" s="485">
        <f>'[1]Li-pł zlec'!C147+'[1]Li-pł zlec'!D147+'[1]Li-pł zlec'!F147+'[1]Li-pł zlec'!H144+'[1]Li-pł zlec'!H147+'[1]Li-pł zlec'!L145-'[1]Li-pł zlec'!P141-'[1]Li-pł zlec'!P146</f>
        <v>0</v>
      </c>
    </row>
    <row r="1013" spans="1:21" ht="79.5" customHeight="1">
      <c r="A1013" s="430"/>
      <c r="F1013" s="836" t="s">
        <v>286</v>
      </c>
      <c r="G1013" s="836"/>
      <c r="H1013" s="837">
        <v>51</v>
      </c>
      <c r="I1013" s="837"/>
      <c r="J1013" s="837"/>
      <c r="K1013" s="837"/>
      <c r="L1013" s="486">
        <v>52</v>
      </c>
      <c r="M1013" s="838">
        <v>53</v>
      </c>
      <c r="N1013" s="838"/>
      <c r="O1013" s="839" t="s">
        <v>317</v>
      </c>
      <c r="P1013" s="839"/>
      <c r="Q1013" s="834">
        <f>S992+'[1]Li-pł zlec'!T142</f>
        <v>0</v>
      </c>
      <c r="R1013" s="834"/>
      <c r="U1013" s="461"/>
    </row>
    <row r="1014" spans="1:21" ht="105.75" customHeight="1" thickBot="1">
      <c r="A1014" s="487"/>
      <c r="B1014" s="488"/>
      <c r="C1014" s="488"/>
      <c r="D1014" s="488"/>
      <c r="E1014" s="488"/>
      <c r="F1014" s="835"/>
      <c r="G1014" s="835"/>
      <c r="H1014" s="835">
        <f>H1011+I1011+J1011+K1011-O1008</f>
        <v>445.06</v>
      </c>
      <c r="I1014" s="835"/>
      <c r="J1014" s="835"/>
      <c r="K1014" s="835"/>
      <c r="L1014" s="489">
        <f>L1011</f>
        <v>0</v>
      </c>
      <c r="M1014" s="835">
        <f>M1011+N1011</f>
        <v>38.29</v>
      </c>
      <c r="N1014" s="835"/>
      <c r="O1014" s="839"/>
      <c r="P1014" s="839"/>
      <c r="Q1014" s="834"/>
      <c r="R1014" s="834"/>
      <c r="S1014" s="488"/>
      <c r="T1014" s="488"/>
      <c r="U1014" s="490"/>
    </row>
  </sheetData>
  <mergeCells count="3064">
    <mergeCell ref="Q1013:R1014"/>
    <mergeCell ref="H1014:K1014"/>
    <mergeCell ref="M1014:N1014"/>
    <mergeCell ref="F1013:G1014"/>
    <mergeCell ref="H1013:K1013"/>
    <mergeCell ref="M1013:N1013"/>
    <mergeCell ref="O1013:P1014"/>
    <mergeCell ref="T1009:U1010"/>
    <mergeCell ref="O1010:P1010"/>
    <mergeCell ref="O1011:P1011"/>
    <mergeCell ref="D1012:G1012"/>
    <mergeCell ref="M1012:N1012"/>
    <mergeCell ref="O1012:P1012"/>
    <mergeCell ref="R1012:S1012"/>
    <mergeCell ref="O1008:P1008"/>
    <mergeCell ref="F1009:G1009"/>
    <mergeCell ref="O1009:P1009"/>
    <mergeCell ref="Q1009:S1009"/>
    <mergeCell ref="M1006:N1006"/>
    <mergeCell ref="Q1006:R1007"/>
    <mergeCell ref="S1006:U1007"/>
    <mergeCell ref="O1007:P1007"/>
    <mergeCell ref="B1004:G1004"/>
    <mergeCell ref="Q1004:R1005"/>
    <mergeCell ref="S1004:U1005"/>
    <mergeCell ref="D1005:E1005"/>
    <mergeCell ref="H1005:N1005"/>
    <mergeCell ref="I1002:L1002"/>
    <mergeCell ref="M1002:N1002"/>
    <mergeCell ref="Q1002:R1003"/>
    <mergeCell ref="S1002:U1003"/>
    <mergeCell ref="K1003:L1004"/>
    <mergeCell ref="M1003:N1004"/>
    <mergeCell ref="T999:U999"/>
    <mergeCell ref="A1000:Q1000"/>
    <mergeCell ref="R1000:U1000"/>
    <mergeCell ref="A1001:A1011"/>
    <mergeCell ref="B1001:H1001"/>
    <mergeCell ref="I1001:L1001"/>
    <mergeCell ref="M1001:N1001"/>
    <mergeCell ref="O1001:P1002"/>
    <mergeCell ref="Q1001:U1001"/>
    <mergeCell ref="B1002:H1002"/>
    <mergeCell ref="T993:U994"/>
    <mergeCell ref="R994:R995"/>
    <mergeCell ref="S994:S996"/>
    <mergeCell ref="H995:L995"/>
    <mergeCell ref="T995:U995"/>
    <mergeCell ref="T996:U997"/>
    <mergeCell ref="M997:N997"/>
    <mergeCell ref="O997:O998"/>
    <mergeCell ref="T998:U998"/>
    <mergeCell ref="B988:B989"/>
    <mergeCell ref="F988:F990"/>
    <mergeCell ref="Q989:R989"/>
    <mergeCell ref="A990:A999"/>
    <mergeCell ref="Q990:Q991"/>
    <mergeCell ref="H992:L992"/>
    <mergeCell ref="M992:N992"/>
    <mergeCell ref="Q992:R992"/>
    <mergeCell ref="B993:E993"/>
    <mergeCell ref="T986:U987"/>
    <mergeCell ref="H987:H989"/>
    <mergeCell ref="I987:I989"/>
    <mergeCell ref="J987:J991"/>
    <mergeCell ref="K987:K989"/>
    <mergeCell ref="L987:O987"/>
    <mergeCell ref="P987:P989"/>
    <mergeCell ref="T990:U990"/>
    <mergeCell ref="T991:U991"/>
    <mergeCell ref="Q983:R983"/>
    <mergeCell ref="C985:C986"/>
    <mergeCell ref="M985:N985"/>
    <mergeCell ref="O985:P985"/>
    <mergeCell ref="M986:N986"/>
    <mergeCell ref="D983:D985"/>
    <mergeCell ref="E983:E984"/>
    <mergeCell ref="H983:K983"/>
    <mergeCell ref="M983:O983"/>
    <mergeCell ref="H982:J982"/>
    <mergeCell ref="K982:L982"/>
    <mergeCell ref="M982:O982"/>
    <mergeCell ref="P982:Q982"/>
    <mergeCell ref="S978:S979"/>
    <mergeCell ref="T978:U978"/>
    <mergeCell ref="B979:B980"/>
    <mergeCell ref="C979:C980"/>
    <mergeCell ref="D979:D981"/>
    <mergeCell ref="E979:E981"/>
    <mergeCell ref="F979:F980"/>
    <mergeCell ref="T979:U981"/>
    <mergeCell ref="T977:U977"/>
    <mergeCell ref="H978:H979"/>
    <mergeCell ref="J978:J979"/>
    <mergeCell ref="K978:K979"/>
    <mergeCell ref="L978:L979"/>
    <mergeCell ref="M978:M979"/>
    <mergeCell ref="O978:O979"/>
    <mergeCell ref="P978:P979"/>
    <mergeCell ref="Q978:Q979"/>
    <mergeCell ref="R978:R979"/>
    <mergeCell ref="H977:I977"/>
    <mergeCell ref="J977:L977"/>
    <mergeCell ref="M977:N977"/>
    <mergeCell ref="P977:R977"/>
    <mergeCell ref="T974:U975"/>
    <mergeCell ref="B975:B976"/>
    <mergeCell ref="C975:C976"/>
    <mergeCell ref="D975:D976"/>
    <mergeCell ref="G975:G976"/>
    <mergeCell ref="E976:F976"/>
    <mergeCell ref="H976:L976"/>
    <mergeCell ref="M976:N976"/>
    <mergeCell ref="O976:R976"/>
    <mergeCell ref="T976:U976"/>
    <mergeCell ref="T971:U973"/>
    <mergeCell ref="L972:L973"/>
    <mergeCell ref="M972:M973"/>
    <mergeCell ref="N972:N973"/>
    <mergeCell ref="O972:O973"/>
    <mergeCell ref="P972:P973"/>
    <mergeCell ref="Q972:Q973"/>
    <mergeCell ref="R972:R973"/>
    <mergeCell ref="S972:S973"/>
    <mergeCell ref="N970:O970"/>
    <mergeCell ref="P970:Q970"/>
    <mergeCell ref="H971:P971"/>
    <mergeCell ref="Q971:R971"/>
    <mergeCell ref="C970:C971"/>
    <mergeCell ref="D970:E970"/>
    <mergeCell ref="H970:K970"/>
    <mergeCell ref="L970:M970"/>
    <mergeCell ref="T966:U966"/>
    <mergeCell ref="T967:U967"/>
    <mergeCell ref="A969:A989"/>
    <mergeCell ref="F969:F973"/>
    <mergeCell ref="G969:G971"/>
    <mergeCell ref="H969:J969"/>
    <mergeCell ref="K969:O969"/>
    <mergeCell ref="P969:S969"/>
    <mergeCell ref="T969:U969"/>
    <mergeCell ref="B970:B973"/>
    <mergeCell ref="R962:R963"/>
    <mergeCell ref="S962:S964"/>
    <mergeCell ref="H963:L963"/>
    <mergeCell ref="M965:N965"/>
    <mergeCell ref="O965:O966"/>
    <mergeCell ref="H960:L960"/>
    <mergeCell ref="M960:N960"/>
    <mergeCell ref="Q960:R960"/>
    <mergeCell ref="B961:E961"/>
    <mergeCell ref="L955:O955"/>
    <mergeCell ref="P955:P957"/>
    <mergeCell ref="T955:U955"/>
    <mergeCell ref="B956:B957"/>
    <mergeCell ref="F956:F958"/>
    <mergeCell ref="T956:U956"/>
    <mergeCell ref="Q957:R957"/>
    <mergeCell ref="Q958:Q959"/>
    <mergeCell ref="T958:U958"/>
    <mergeCell ref="T959:U959"/>
    <mergeCell ref="H955:H957"/>
    <mergeCell ref="I955:I957"/>
    <mergeCell ref="J955:J959"/>
    <mergeCell ref="K955:K957"/>
    <mergeCell ref="M953:N953"/>
    <mergeCell ref="O953:P953"/>
    <mergeCell ref="T953:U953"/>
    <mergeCell ref="M954:N954"/>
    <mergeCell ref="T954:U954"/>
    <mergeCell ref="H951:K951"/>
    <mergeCell ref="M951:O951"/>
    <mergeCell ref="Q951:R951"/>
    <mergeCell ref="T951:U952"/>
    <mergeCell ref="E947:E949"/>
    <mergeCell ref="T947:U949"/>
    <mergeCell ref="H950:J950"/>
    <mergeCell ref="K950:L950"/>
    <mergeCell ref="M950:O950"/>
    <mergeCell ref="P950:Q950"/>
    <mergeCell ref="S946:S947"/>
    <mergeCell ref="R946:R947"/>
    <mergeCell ref="F947:F948"/>
    <mergeCell ref="M946:M947"/>
    <mergeCell ref="O946:O947"/>
    <mergeCell ref="P946:P947"/>
    <mergeCell ref="Q946:Q947"/>
    <mergeCell ref="H946:H947"/>
    <mergeCell ref="J946:J947"/>
    <mergeCell ref="K946:K947"/>
    <mergeCell ref="L946:L947"/>
    <mergeCell ref="J945:L945"/>
    <mergeCell ref="M945:N945"/>
    <mergeCell ref="P945:R945"/>
    <mergeCell ref="T942:U943"/>
    <mergeCell ref="H944:L944"/>
    <mergeCell ref="M944:N944"/>
    <mergeCell ref="O944:R944"/>
    <mergeCell ref="T944:U944"/>
    <mergeCell ref="T945:U945"/>
    <mergeCell ref="H945:I945"/>
    <mergeCell ref="B943:B944"/>
    <mergeCell ref="C943:C944"/>
    <mergeCell ref="D943:D944"/>
    <mergeCell ref="G943:G944"/>
    <mergeCell ref="E944:F944"/>
    <mergeCell ref="T939:U941"/>
    <mergeCell ref="L940:L941"/>
    <mergeCell ref="M940:M941"/>
    <mergeCell ref="N940:N941"/>
    <mergeCell ref="O940:O941"/>
    <mergeCell ref="P940:P941"/>
    <mergeCell ref="Q940:Q941"/>
    <mergeCell ref="R940:R941"/>
    <mergeCell ref="S940:S941"/>
    <mergeCell ref="N938:O938"/>
    <mergeCell ref="P938:Q938"/>
    <mergeCell ref="H939:P939"/>
    <mergeCell ref="Q939:R939"/>
    <mergeCell ref="A938:A967"/>
    <mergeCell ref="B938:B941"/>
    <mergeCell ref="C938:C939"/>
    <mergeCell ref="D938:E938"/>
    <mergeCell ref="D951:D953"/>
    <mergeCell ref="E951:E952"/>
    <mergeCell ref="C953:C954"/>
    <mergeCell ref="B947:B948"/>
    <mergeCell ref="C947:C948"/>
    <mergeCell ref="D947:D949"/>
    <mergeCell ref="T934:U934"/>
    <mergeCell ref="T935:U935"/>
    <mergeCell ref="F937:F941"/>
    <mergeCell ref="G937:G939"/>
    <mergeCell ref="H937:J937"/>
    <mergeCell ref="K937:O937"/>
    <mergeCell ref="P937:S937"/>
    <mergeCell ref="T937:U937"/>
    <mergeCell ref="H938:K938"/>
    <mergeCell ref="L938:M938"/>
    <mergeCell ref="R930:R931"/>
    <mergeCell ref="S930:S932"/>
    <mergeCell ref="H931:L931"/>
    <mergeCell ref="M933:N933"/>
    <mergeCell ref="O933:O934"/>
    <mergeCell ref="H928:L928"/>
    <mergeCell ref="M928:N928"/>
    <mergeCell ref="Q928:R928"/>
    <mergeCell ref="B929:E929"/>
    <mergeCell ref="L923:O923"/>
    <mergeCell ref="P923:P925"/>
    <mergeCell ref="T923:U923"/>
    <mergeCell ref="B924:B925"/>
    <mergeCell ref="F924:F926"/>
    <mergeCell ref="T924:U924"/>
    <mergeCell ref="Q925:R925"/>
    <mergeCell ref="Q926:Q927"/>
    <mergeCell ref="T926:U926"/>
    <mergeCell ref="T927:U927"/>
    <mergeCell ref="H923:H925"/>
    <mergeCell ref="I923:I925"/>
    <mergeCell ref="J923:J927"/>
    <mergeCell ref="K923:K925"/>
    <mergeCell ref="M921:N921"/>
    <mergeCell ref="O921:P921"/>
    <mergeCell ref="T921:U921"/>
    <mergeCell ref="M922:N922"/>
    <mergeCell ref="T922:U922"/>
    <mergeCell ref="H919:K919"/>
    <mergeCell ref="M919:O919"/>
    <mergeCell ref="Q919:R919"/>
    <mergeCell ref="T919:U920"/>
    <mergeCell ref="E915:E917"/>
    <mergeCell ref="T915:U917"/>
    <mergeCell ref="H918:J918"/>
    <mergeCell ref="K918:L918"/>
    <mergeCell ref="M918:O918"/>
    <mergeCell ref="P918:Q918"/>
    <mergeCell ref="S914:S915"/>
    <mergeCell ref="R914:R915"/>
    <mergeCell ref="F915:F916"/>
    <mergeCell ref="M914:M915"/>
    <mergeCell ref="O914:O915"/>
    <mergeCell ref="P914:P915"/>
    <mergeCell ref="Q914:Q915"/>
    <mergeCell ref="H914:H915"/>
    <mergeCell ref="J914:J915"/>
    <mergeCell ref="K914:K915"/>
    <mergeCell ref="L914:L915"/>
    <mergeCell ref="J913:L913"/>
    <mergeCell ref="M913:N913"/>
    <mergeCell ref="P913:R913"/>
    <mergeCell ref="T910:U911"/>
    <mergeCell ref="H912:L912"/>
    <mergeCell ref="M912:N912"/>
    <mergeCell ref="O912:R912"/>
    <mergeCell ref="T912:U912"/>
    <mergeCell ref="T913:U913"/>
    <mergeCell ref="H913:I913"/>
    <mergeCell ref="B911:B912"/>
    <mergeCell ref="C911:C912"/>
    <mergeCell ref="D911:D912"/>
    <mergeCell ref="G911:G912"/>
    <mergeCell ref="E912:F912"/>
    <mergeCell ref="T907:U909"/>
    <mergeCell ref="L908:L909"/>
    <mergeCell ref="M908:M909"/>
    <mergeCell ref="N908:N909"/>
    <mergeCell ref="O908:O909"/>
    <mergeCell ref="P908:P909"/>
    <mergeCell ref="Q908:Q909"/>
    <mergeCell ref="R908:R909"/>
    <mergeCell ref="S908:S909"/>
    <mergeCell ref="N906:O906"/>
    <mergeCell ref="P906:Q906"/>
    <mergeCell ref="H907:P907"/>
    <mergeCell ref="Q907:R907"/>
    <mergeCell ref="A906:A935"/>
    <mergeCell ref="B906:B909"/>
    <mergeCell ref="C906:C907"/>
    <mergeCell ref="D906:E906"/>
    <mergeCell ref="D919:D921"/>
    <mergeCell ref="E919:E920"/>
    <mergeCell ref="C921:C922"/>
    <mergeCell ref="B915:B916"/>
    <mergeCell ref="C915:C916"/>
    <mergeCell ref="D915:D917"/>
    <mergeCell ref="T902:U902"/>
    <mergeCell ref="T903:U903"/>
    <mergeCell ref="F905:F909"/>
    <mergeCell ref="G905:G907"/>
    <mergeCell ref="H905:J905"/>
    <mergeCell ref="K905:O905"/>
    <mergeCell ref="P905:S905"/>
    <mergeCell ref="T905:U905"/>
    <mergeCell ref="H906:K906"/>
    <mergeCell ref="L906:M906"/>
    <mergeCell ref="R898:R899"/>
    <mergeCell ref="S898:S900"/>
    <mergeCell ref="H899:L899"/>
    <mergeCell ref="M901:N901"/>
    <mergeCell ref="O901:O902"/>
    <mergeCell ref="H896:L896"/>
    <mergeCell ref="M896:N896"/>
    <mergeCell ref="Q896:R896"/>
    <mergeCell ref="B897:E897"/>
    <mergeCell ref="L891:O891"/>
    <mergeCell ref="P891:P893"/>
    <mergeCell ref="T891:U891"/>
    <mergeCell ref="B892:B893"/>
    <mergeCell ref="F892:F894"/>
    <mergeCell ref="T892:U892"/>
    <mergeCell ref="Q893:R893"/>
    <mergeCell ref="Q894:Q895"/>
    <mergeCell ref="T894:U894"/>
    <mergeCell ref="T895:U895"/>
    <mergeCell ref="H891:H893"/>
    <mergeCell ref="I891:I893"/>
    <mergeCell ref="J891:J895"/>
    <mergeCell ref="K891:K893"/>
    <mergeCell ref="M889:N889"/>
    <mergeCell ref="O889:P889"/>
    <mergeCell ref="T889:U889"/>
    <mergeCell ref="M890:N890"/>
    <mergeCell ref="T890:U890"/>
    <mergeCell ref="H887:K887"/>
    <mergeCell ref="M887:O887"/>
    <mergeCell ref="Q887:R887"/>
    <mergeCell ref="T887:U888"/>
    <mergeCell ref="E883:E885"/>
    <mergeCell ref="T883:U885"/>
    <mergeCell ref="H886:J886"/>
    <mergeCell ref="K886:L886"/>
    <mergeCell ref="M886:O886"/>
    <mergeCell ref="P886:Q886"/>
    <mergeCell ref="S882:S883"/>
    <mergeCell ref="R882:R883"/>
    <mergeCell ref="F883:F884"/>
    <mergeCell ref="M882:M883"/>
    <mergeCell ref="O882:O883"/>
    <mergeCell ref="P882:P883"/>
    <mergeCell ref="Q882:Q883"/>
    <mergeCell ref="H882:H883"/>
    <mergeCell ref="J882:J883"/>
    <mergeCell ref="K882:K883"/>
    <mergeCell ref="L882:L883"/>
    <mergeCell ref="J881:L881"/>
    <mergeCell ref="M881:N881"/>
    <mergeCell ref="P881:R881"/>
    <mergeCell ref="T878:U879"/>
    <mergeCell ref="H880:L880"/>
    <mergeCell ref="M880:N880"/>
    <mergeCell ref="O880:R880"/>
    <mergeCell ref="T880:U880"/>
    <mergeCell ref="T881:U881"/>
    <mergeCell ref="H881:I881"/>
    <mergeCell ref="B879:B880"/>
    <mergeCell ref="C879:C880"/>
    <mergeCell ref="D879:D880"/>
    <mergeCell ref="G879:G880"/>
    <mergeCell ref="E880:F880"/>
    <mergeCell ref="T875:U877"/>
    <mergeCell ref="L876:L877"/>
    <mergeCell ref="M876:M877"/>
    <mergeCell ref="N876:N877"/>
    <mergeCell ref="O876:O877"/>
    <mergeCell ref="P876:P877"/>
    <mergeCell ref="Q876:Q877"/>
    <mergeCell ref="R876:R877"/>
    <mergeCell ref="S876:S877"/>
    <mergeCell ref="N874:O874"/>
    <mergeCell ref="P874:Q874"/>
    <mergeCell ref="H875:P875"/>
    <mergeCell ref="Q875:R875"/>
    <mergeCell ref="A874:A903"/>
    <mergeCell ref="B874:B877"/>
    <mergeCell ref="C874:C875"/>
    <mergeCell ref="D874:E874"/>
    <mergeCell ref="D887:D889"/>
    <mergeCell ref="E887:E888"/>
    <mergeCell ref="C889:C890"/>
    <mergeCell ref="B883:B884"/>
    <mergeCell ref="C883:C884"/>
    <mergeCell ref="D883:D885"/>
    <mergeCell ref="T870:U870"/>
    <mergeCell ref="T871:U871"/>
    <mergeCell ref="F873:F877"/>
    <mergeCell ref="G873:G875"/>
    <mergeCell ref="H873:J873"/>
    <mergeCell ref="K873:O873"/>
    <mergeCell ref="P873:S873"/>
    <mergeCell ref="T873:U873"/>
    <mergeCell ref="H874:K874"/>
    <mergeCell ref="L874:M874"/>
    <mergeCell ref="R866:R867"/>
    <mergeCell ref="S866:S868"/>
    <mergeCell ref="H867:L867"/>
    <mergeCell ref="M869:N869"/>
    <mergeCell ref="O869:O870"/>
    <mergeCell ref="H864:L864"/>
    <mergeCell ref="M864:N864"/>
    <mergeCell ref="Q864:R864"/>
    <mergeCell ref="B865:E865"/>
    <mergeCell ref="L859:O859"/>
    <mergeCell ref="P859:P861"/>
    <mergeCell ref="T859:U859"/>
    <mergeCell ref="B860:B861"/>
    <mergeCell ref="F860:F862"/>
    <mergeCell ref="T860:U860"/>
    <mergeCell ref="Q861:R861"/>
    <mergeCell ref="Q862:Q863"/>
    <mergeCell ref="T862:U862"/>
    <mergeCell ref="T863:U863"/>
    <mergeCell ref="H859:H861"/>
    <mergeCell ref="I859:I861"/>
    <mergeCell ref="J859:J863"/>
    <mergeCell ref="K859:K861"/>
    <mergeCell ref="M857:N857"/>
    <mergeCell ref="O857:P857"/>
    <mergeCell ref="T857:U857"/>
    <mergeCell ref="M858:N858"/>
    <mergeCell ref="T858:U858"/>
    <mergeCell ref="H855:K855"/>
    <mergeCell ref="M855:O855"/>
    <mergeCell ref="Q855:R855"/>
    <mergeCell ref="T855:U856"/>
    <mergeCell ref="E851:E853"/>
    <mergeCell ref="T851:U853"/>
    <mergeCell ref="H854:J854"/>
    <mergeCell ref="K854:L854"/>
    <mergeCell ref="M854:O854"/>
    <mergeCell ref="P854:Q854"/>
    <mergeCell ref="S850:S851"/>
    <mergeCell ref="R850:R851"/>
    <mergeCell ref="F851:F852"/>
    <mergeCell ref="M850:M851"/>
    <mergeCell ref="O850:O851"/>
    <mergeCell ref="P850:P851"/>
    <mergeCell ref="Q850:Q851"/>
    <mergeCell ref="H850:H851"/>
    <mergeCell ref="J850:J851"/>
    <mergeCell ref="K850:K851"/>
    <mergeCell ref="L850:L851"/>
    <mergeCell ref="J849:L849"/>
    <mergeCell ref="M849:N849"/>
    <mergeCell ref="P849:R849"/>
    <mergeCell ref="T846:U847"/>
    <mergeCell ref="H848:L848"/>
    <mergeCell ref="M848:N848"/>
    <mergeCell ref="O848:R848"/>
    <mergeCell ref="T848:U848"/>
    <mergeCell ref="T849:U849"/>
    <mergeCell ref="H849:I849"/>
    <mergeCell ref="B847:B848"/>
    <mergeCell ref="C847:C848"/>
    <mergeCell ref="D847:D848"/>
    <mergeCell ref="G847:G848"/>
    <mergeCell ref="E848:F848"/>
    <mergeCell ref="T843:U845"/>
    <mergeCell ref="L844:L845"/>
    <mergeCell ref="M844:M845"/>
    <mergeCell ref="N844:N845"/>
    <mergeCell ref="O844:O845"/>
    <mergeCell ref="P844:P845"/>
    <mergeCell ref="Q844:Q845"/>
    <mergeCell ref="R844:R845"/>
    <mergeCell ref="S844:S845"/>
    <mergeCell ref="N842:O842"/>
    <mergeCell ref="P842:Q842"/>
    <mergeCell ref="H843:P843"/>
    <mergeCell ref="Q843:R843"/>
    <mergeCell ref="A842:A871"/>
    <mergeCell ref="B842:B845"/>
    <mergeCell ref="C842:C843"/>
    <mergeCell ref="D842:E842"/>
    <mergeCell ref="D855:D857"/>
    <mergeCell ref="E855:E856"/>
    <mergeCell ref="C857:C858"/>
    <mergeCell ref="B851:B852"/>
    <mergeCell ref="C851:C852"/>
    <mergeCell ref="D851:D853"/>
    <mergeCell ref="T838:U838"/>
    <mergeCell ref="T839:U839"/>
    <mergeCell ref="F841:F845"/>
    <mergeCell ref="G841:G843"/>
    <mergeCell ref="H841:J841"/>
    <mergeCell ref="K841:O841"/>
    <mergeCell ref="P841:S841"/>
    <mergeCell ref="T841:U841"/>
    <mergeCell ref="H842:K842"/>
    <mergeCell ref="L842:M842"/>
    <mergeCell ref="R834:R835"/>
    <mergeCell ref="S834:S836"/>
    <mergeCell ref="H835:L835"/>
    <mergeCell ref="M837:N837"/>
    <mergeCell ref="O837:O838"/>
    <mergeCell ref="H832:L832"/>
    <mergeCell ref="M832:N832"/>
    <mergeCell ref="Q832:R832"/>
    <mergeCell ref="B833:E833"/>
    <mergeCell ref="L827:O827"/>
    <mergeCell ref="P827:P829"/>
    <mergeCell ref="T827:U827"/>
    <mergeCell ref="B828:B829"/>
    <mergeCell ref="F828:F830"/>
    <mergeCell ref="T828:U828"/>
    <mergeCell ref="Q829:R829"/>
    <mergeCell ref="Q830:Q831"/>
    <mergeCell ref="T830:U830"/>
    <mergeCell ref="T831:U831"/>
    <mergeCell ref="H827:H829"/>
    <mergeCell ref="I827:I829"/>
    <mergeCell ref="J827:J831"/>
    <mergeCell ref="K827:K829"/>
    <mergeCell ref="M825:N825"/>
    <mergeCell ref="O825:P825"/>
    <mergeCell ref="T825:U825"/>
    <mergeCell ref="M826:N826"/>
    <mergeCell ref="T826:U826"/>
    <mergeCell ref="H823:K823"/>
    <mergeCell ref="M823:O823"/>
    <mergeCell ref="Q823:R823"/>
    <mergeCell ref="T823:U824"/>
    <mergeCell ref="E819:E821"/>
    <mergeCell ref="T819:U821"/>
    <mergeCell ref="H822:J822"/>
    <mergeCell ref="K822:L822"/>
    <mergeCell ref="M822:O822"/>
    <mergeCell ref="P822:Q822"/>
    <mergeCell ref="S818:S819"/>
    <mergeCell ref="R818:R819"/>
    <mergeCell ref="F819:F820"/>
    <mergeCell ref="M818:M819"/>
    <mergeCell ref="O818:O819"/>
    <mergeCell ref="P818:P819"/>
    <mergeCell ref="Q818:Q819"/>
    <mergeCell ref="H818:H819"/>
    <mergeCell ref="J818:J819"/>
    <mergeCell ref="K818:K819"/>
    <mergeCell ref="L818:L819"/>
    <mergeCell ref="J817:L817"/>
    <mergeCell ref="M817:N817"/>
    <mergeCell ref="P817:R817"/>
    <mergeCell ref="T814:U815"/>
    <mergeCell ref="H816:L816"/>
    <mergeCell ref="M816:N816"/>
    <mergeCell ref="O816:R816"/>
    <mergeCell ref="T816:U816"/>
    <mergeCell ref="T817:U817"/>
    <mergeCell ref="H817:I817"/>
    <mergeCell ref="B815:B816"/>
    <mergeCell ref="C815:C816"/>
    <mergeCell ref="D815:D816"/>
    <mergeCell ref="G815:G816"/>
    <mergeCell ref="E816:F816"/>
    <mergeCell ref="T811:U813"/>
    <mergeCell ref="L812:L813"/>
    <mergeCell ref="M812:M813"/>
    <mergeCell ref="N812:N813"/>
    <mergeCell ref="O812:O813"/>
    <mergeCell ref="P812:P813"/>
    <mergeCell ref="Q812:Q813"/>
    <mergeCell ref="R812:R813"/>
    <mergeCell ref="S812:S813"/>
    <mergeCell ref="N810:O810"/>
    <mergeCell ref="P810:Q810"/>
    <mergeCell ref="H811:P811"/>
    <mergeCell ref="Q811:R811"/>
    <mergeCell ref="A810:A839"/>
    <mergeCell ref="B810:B813"/>
    <mergeCell ref="C810:C811"/>
    <mergeCell ref="D810:E810"/>
    <mergeCell ref="D823:D825"/>
    <mergeCell ref="E823:E824"/>
    <mergeCell ref="C825:C826"/>
    <mergeCell ref="B819:B820"/>
    <mergeCell ref="C819:C820"/>
    <mergeCell ref="D819:D821"/>
    <mergeCell ref="T806:U806"/>
    <mergeCell ref="T807:U807"/>
    <mergeCell ref="F809:F813"/>
    <mergeCell ref="G809:G811"/>
    <mergeCell ref="H809:J809"/>
    <mergeCell ref="K809:O809"/>
    <mergeCell ref="P809:S809"/>
    <mergeCell ref="T809:U809"/>
    <mergeCell ref="H810:K810"/>
    <mergeCell ref="L810:M810"/>
    <mergeCell ref="R802:R803"/>
    <mergeCell ref="S802:S804"/>
    <mergeCell ref="H803:L803"/>
    <mergeCell ref="M805:N805"/>
    <mergeCell ref="O805:O806"/>
    <mergeCell ref="H800:L800"/>
    <mergeCell ref="M800:N800"/>
    <mergeCell ref="Q800:R800"/>
    <mergeCell ref="B801:E801"/>
    <mergeCell ref="L795:O795"/>
    <mergeCell ref="P795:P797"/>
    <mergeCell ref="T795:U795"/>
    <mergeCell ref="B796:B797"/>
    <mergeCell ref="F796:F798"/>
    <mergeCell ref="T796:U796"/>
    <mergeCell ref="Q797:R797"/>
    <mergeCell ref="Q798:Q799"/>
    <mergeCell ref="T798:U798"/>
    <mergeCell ref="T799:U799"/>
    <mergeCell ref="H795:H797"/>
    <mergeCell ref="I795:I797"/>
    <mergeCell ref="J795:J799"/>
    <mergeCell ref="K795:K797"/>
    <mergeCell ref="M793:N793"/>
    <mergeCell ref="O793:P793"/>
    <mergeCell ref="T793:U793"/>
    <mergeCell ref="M794:N794"/>
    <mergeCell ref="T794:U794"/>
    <mergeCell ref="H791:K791"/>
    <mergeCell ref="M791:O791"/>
    <mergeCell ref="Q791:R791"/>
    <mergeCell ref="T791:U792"/>
    <mergeCell ref="E787:E789"/>
    <mergeCell ref="T787:U789"/>
    <mergeCell ref="H790:J790"/>
    <mergeCell ref="K790:L790"/>
    <mergeCell ref="M790:O790"/>
    <mergeCell ref="P790:Q790"/>
    <mergeCell ref="S786:S787"/>
    <mergeCell ref="R786:R787"/>
    <mergeCell ref="F787:F788"/>
    <mergeCell ref="M786:M787"/>
    <mergeCell ref="O786:O787"/>
    <mergeCell ref="P786:P787"/>
    <mergeCell ref="Q786:Q787"/>
    <mergeCell ref="H786:H787"/>
    <mergeCell ref="J786:J787"/>
    <mergeCell ref="K786:K787"/>
    <mergeCell ref="L786:L787"/>
    <mergeCell ref="J785:L785"/>
    <mergeCell ref="M785:N785"/>
    <mergeCell ref="P785:R785"/>
    <mergeCell ref="T782:U783"/>
    <mergeCell ref="H784:L784"/>
    <mergeCell ref="M784:N784"/>
    <mergeCell ref="O784:R784"/>
    <mergeCell ref="T784:U784"/>
    <mergeCell ref="T785:U785"/>
    <mergeCell ref="H785:I785"/>
    <mergeCell ref="B783:B784"/>
    <mergeCell ref="C783:C784"/>
    <mergeCell ref="D783:D784"/>
    <mergeCell ref="G783:G784"/>
    <mergeCell ref="E784:F784"/>
    <mergeCell ref="T779:U781"/>
    <mergeCell ref="L780:L781"/>
    <mergeCell ref="M780:M781"/>
    <mergeCell ref="N780:N781"/>
    <mergeCell ref="O780:O781"/>
    <mergeCell ref="P780:P781"/>
    <mergeCell ref="Q780:Q781"/>
    <mergeCell ref="R780:R781"/>
    <mergeCell ref="S780:S781"/>
    <mergeCell ref="N778:O778"/>
    <mergeCell ref="P778:Q778"/>
    <mergeCell ref="H779:P779"/>
    <mergeCell ref="Q779:R779"/>
    <mergeCell ref="A778:A807"/>
    <mergeCell ref="B778:B781"/>
    <mergeCell ref="C778:C779"/>
    <mergeCell ref="D778:E778"/>
    <mergeCell ref="D791:D793"/>
    <mergeCell ref="E791:E792"/>
    <mergeCell ref="C793:C794"/>
    <mergeCell ref="B787:B788"/>
    <mergeCell ref="C787:C788"/>
    <mergeCell ref="D787:D789"/>
    <mergeCell ref="T774:U774"/>
    <mergeCell ref="T775:U775"/>
    <mergeCell ref="F777:F781"/>
    <mergeCell ref="G777:G779"/>
    <mergeCell ref="H777:J777"/>
    <mergeCell ref="K777:O777"/>
    <mergeCell ref="P777:S777"/>
    <mergeCell ref="T777:U777"/>
    <mergeCell ref="H778:K778"/>
    <mergeCell ref="L778:M778"/>
    <mergeCell ref="R770:R771"/>
    <mergeCell ref="S770:S772"/>
    <mergeCell ref="H771:L771"/>
    <mergeCell ref="M773:N773"/>
    <mergeCell ref="O773:O774"/>
    <mergeCell ref="H768:L768"/>
    <mergeCell ref="M768:N768"/>
    <mergeCell ref="Q768:R768"/>
    <mergeCell ref="B769:E769"/>
    <mergeCell ref="L763:O763"/>
    <mergeCell ref="P763:P765"/>
    <mergeCell ref="T763:U763"/>
    <mergeCell ref="B764:B765"/>
    <mergeCell ref="F764:F766"/>
    <mergeCell ref="T764:U764"/>
    <mergeCell ref="Q765:R765"/>
    <mergeCell ref="Q766:Q767"/>
    <mergeCell ref="T766:U766"/>
    <mergeCell ref="T767:U767"/>
    <mergeCell ref="H763:H765"/>
    <mergeCell ref="I763:I765"/>
    <mergeCell ref="J763:J767"/>
    <mergeCell ref="K763:K765"/>
    <mergeCell ref="M761:N761"/>
    <mergeCell ref="O761:P761"/>
    <mergeCell ref="T761:U761"/>
    <mergeCell ref="M762:N762"/>
    <mergeCell ref="T762:U762"/>
    <mergeCell ref="H759:K759"/>
    <mergeCell ref="M759:O759"/>
    <mergeCell ref="Q759:R759"/>
    <mergeCell ref="T759:U760"/>
    <mergeCell ref="E755:E757"/>
    <mergeCell ref="T755:U757"/>
    <mergeCell ref="H758:J758"/>
    <mergeCell ref="K758:L758"/>
    <mergeCell ref="M758:O758"/>
    <mergeCell ref="P758:Q758"/>
    <mergeCell ref="S754:S755"/>
    <mergeCell ref="R754:R755"/>
    <mergeCell ref="F755:F756"/>
    <mergeCell ref="M754:M755"/>
    <mergeCell ref="O754:O755"/>
    <mergeCell ref="P754:P755"/>
    <mergeCell ref="Q754:Q755"/>
    <mergeCell ref="H754:H755"/>
    <mergeCell ref="J754:J755"/>
    <mergeCell ref="K754:K755"/>
    <mergeCell ref="L754:L755"/>
    <mergeCell ref="J753:L753"/>
    <mergeCell ref="M753:N753"/>
    <mergeCell ref="P753:R753"/>
    <mergeCell ref="T750:U751"/>
    <mergeCell ref="H752:L752"/>
    <mergeCell ref="M752:N752"/>
    <mergeCell ref="O752:R752"/>
    <mergeCell ref="T752:U752"/>
    <mergeCell ref="T753:U753"/>
    <mergeCell ref="H753:I753"/>
    <mergeCell ref="B751:B752"/>
    <mergeCell ref="C751:C752"/>
    <mergeCell ref="D751:D752"/>
    <mergeCell ref="G751:G752"/>
    <mergeCell ref="E752:F752"/>
    <mergeCell ref="T747:U749"/>
    <mergeCell ref="L748:L749"/>
    <mergeCell ref="M748:M749"/>
    <mergeCell ref="N748:N749"/>
    <mergeCell ref="O748:O749"/>
    <mergeCell ref="P748:P749"/>
    <mergeCell ref="Q748:Q749"/>
    <mergeCell ref="R748:R749"/>
    <mergeCell ref="S748:S749"/>
    <mergeCell ref="N746:O746"/>
    <mergeCell ref="P746:Q746"/>
    <mergeCell ref="H747:P747"/>
    <mergeCell ref="Q747:R747"/>
    <mergeCell ref="A746:A775"/>
    <mergeCell ref="B746:B749"/>
    <mergeCell ref="C746:C747"/>
    <mergeCell ref="D746:E746"/>
    <mergeCell ref="D759:D761"/>
    <mergeCell ref="E759:E760"/>
    <mergeCell ref="C761:C762"/>
    <mergeCell ref="B755:B756"/>
    <mergeCell ref="C755:C756"/>
    <mergeCell ref="D755:D757"/>
    <mergeCell ref="T742:U742"/>
    <mergeCell ref="T743:U743"/>
    <mergeCell ref="F745:F749"/>
    <mergeCell ref="G745:G747"/>
    <mergeCell ref="H745:J745"/>
    <mergeCell ref="K745:O745"/>
    <mergeCell ref="P745:S745"/>
    <mergeCell ref="T745:U745"/>
    <mergeCell ref="H746:K746"/>
    <mergeCell ref="L746:M746"/>
    <mergeCell ref="R738:R739"/>
    <mergeCell ref="S738:S740"/>
    <mergeCell ref="H739:L739"/>
    <mergeCell ref="M741:N741"/>
    <mergeCell ref="O741:O742"/>
    <mergeCell ref="H736:L736"/>
    <mergeCell ref="M736:N736"/>
    <mergeCell ref="Q736:R736"/>
    <mergeCell ref="B737:E737"/>
    <mergeCell ref="L731:O731"/>
    <mergeCell ref="P731:P733"/>
    <mergeCell ref="T731:U731"/>
    <mergeCell ref="B732:B733"/>
    <mergeCell ref="F732:F734"/>
    <mergeCell ref="T732:U732"/>
    <mergeCell ref="Q733:R733"/>
    <mergeCell ref="Q734:Q735"/>
    <mergeCell ref="T734:U734"/>
    <mergeCell ref="T735:U735"/>
    <mergeCell ref="H731:H733"/>
    <mergeCell ref="I731:I733"/>
    <mergeCell ref="J731:J735"/>
    <mergeCell ref="K731:K733"/>
    <mergeCell ref="M729:N729"/>
    <mergeCell ref="O729:P729"/>
    <mergeCell ref="T729:U729"/>
    <mergeCell ref="M730:N730"/>
    <mergeCell ref="T730:U730"/>
    <mergeCell ref="H727:K727"/>
    <mergeCell ref="M727:O727"/>
    <mergeCell ref="Q727:R727"/>
    <mergeCell ref="T727:U728"/>
    <mergeCell ref="E723:E725"/>
    <mergeCell ref="T723:U725"/>
    <mergeCell ref="H726:J726"/>
    <mergeCell ref="K726:L726"/>
    <mergeCell ref="M726:O726"/>
    <mergeCell ref="P726:Q726"/>
    <mergeCell ref="S722:S723"/>
    <mergeCell ref="R722:R723"/>
    <mergeCell ref="F723:F724"/>
    <mergeCell ref="M722:M723"/>
    <mergeCell ref="O722:O723"/>
    <mergeCell ref="P722:P723"/>
    <mergeCell ref="Q722:Q723"/>
    <mergeCell ref="H722:H723"/>
    <mergeCell ref="J722:J723"/>
    <mergeCell ref="K722:K723"/>
    <mergeCell ref="L722:L723"/>
    <mergeCell ref="J721:L721"/>
    <mergeCell ref="M721:N721"/>
    <mergeCell ref="P721:R721"/>
    <mergeCell ref="T718:U719"/>
    <mergeCell ref="H720:L720"/>
    <mergeCell ref="M720:N720"/>
    <mergeCell ref="O720:R720"/>
    <mergeCell ref="T720:U720"/>
    <mergeCell ref="T721:U721"/>
    <mergeCell ref="H721:I721"/>
    <mergeCell ref="B719:B720"/>
    <mergeCell ref="C719:C720"/>
    <mergeCell ref="D719:D720"/>
    <mergeCell ref="G719:G720"/>
    <mergeCell ref="E720:F720"/>
    <mergeCell ref="T715:U717"/>
    <mergeCell ref="L716:L717"/>
    <mergeCell ref="M716:M717"/>
    <mergeCell ref="N716:N717"/>
    <mergeCell ref="O716:O717"/>
    <mergeCell ref="P716:P717"/>
    <mergeCell ref="Q716:Q717"/>
    <mergeCell ref="R716:R717"/>
    <mergeCell ref="S716:S717"/>
    <mergeCell ref="N714:O714"/>
    <mergeCell ref="P714:Q714"/>
    <mergeCell ref="H715:P715"/>
    <mergeCell ref="Q715:R715"/>
    <mergeCell ref="A714:A743"/>
    <mergeCell ref="B714:B717"/>
    <mergeCell ref="C714:C715"/>
    <mergeCell ref="D714:E714"/>
    <mergeCell ref="D727:D729"/>
    <mergeCell ref="E727:E728"/>
    <mergeCell ref="C729:C730"/>
    <mergeCell ref="B723:B724"/>
    <mergeCell ref="C723:C724"/>
    <mergeCell ref="D723:D725"/>
    <mergeCell ref="T710:U710"/>
    <mergeCell ref="T711:U711"/>
    <mergeCell ref="F713:F717"/>
    <mergeCell ref="G713:G715"/>
    <mergeCell ref="H713:J713"/>
    <mergeCell ref="K713:O713"/>
    <mergeCell ref="P713:S713"/>
    <mergeCell ref="T713:U713"/>
    <mergeCell ref="H714:K714"/>
    <mergeCell ref="L714:M714"/>
    <mergeCell ref="R706:R707"/>
    <mergeCell ref="S706:S708"/>
    <mergeCell ref="H707:L707"/>
    <mergeCell ref="M709:N709"/>
    <mergeCell ref="O709:O710"/>
    <mergeCell ref="H704:L704"/>
    <mergeCell ref="M704:N704"/>
    <mergeCell ref="Q704:R704"/>
    <mergeCell ref="B705:E705"/>
    <mergeCell ref="L699:O699"/>
    <mergeCell ref="P699:P701"/>
    <mergeCell ref="T699:U699"/>
    <mergeCell ref="B700:B701"/>
    <mergeCell ref="F700:F702"/>
    <mergeCell ref="T700:U700"/>
    <mergeCell ref="Q701:R701"/>
    <mergeCell ref="Q702:Q703"/>
    <mergeCell ref="T702:U702"/>
    <mergeCell ref="T703:U703"/>
    <mergeCell ref="H699:H701"/>
    <mergeCell ref="I699:I701"/>
    <mergeCell ref="J699:J703"/>
    <mergeCell ref="K699:K701"/>
    <mergeCell ref="M697:N697"/>
    <mergeCell ref="O697:P697"/>
    <mergeCell ref="T697:U697"/>
    <mergeCell ref="M698:N698"/>
    <mergeCell ref="T698:U698"/>
    <mergeCell ref="H695:K695"/>
    <mergeCell ref="M695:O695"/>
    <mergeCell ref="Q695:R695"/>
    <mergeCell ref="T695:U696"/>
    <mergeCell ref="E691:E693"/>
    <mergeCell ref="T691:U693"/>
    <mergeCell ref="H694:J694"/>
    <mergeCell ref="K694:L694"/>
    <mergeCell ref="M694:O694"/>
    <mergeCell ref="P694:Q694"/>
    <mergeCell ref="S690:S691"/>
    <mergeCell ref="R690:R691"/>
    <mergeCell ref="F691:F692"/>
    <mergeCell ref="M690:M691"/>
    <mergeCell ref="O690:O691"/>
    <mergeCell ref="P690:P691"/>
    <mergeCell ref="Q690:Q691"/>
    <mergeCell ref="H690:H691"/>
    <mergeCell ref="J690:J691"/>
    <mergeCell ref="K690:K691"/>
    <mergeCell ref="L690:L691"/>
    <mergeCell ref="J689:L689"/>
    <mergeCell ref="M689:N689"/>
    <mergeCell ref="P689:R689"/>
    <mergeCell ref="T686:U687"/>
    <mergeCell ref="H688:L688"/>
    <mergeCell ref="M688:N688"/>
    <mergeCell ref="O688:R688"/>
    <mergeCell ref="T688:U688"/>
    <mergeCell ref="T689:U689"/>
    <mergeCell ref="H689:I689"/>
    <mergeCell ref="B687:B688"/>
    <mergeCell ref="C687:C688"/>
    <mergeCell ref="D687:D688"/>
    <mergeCell ref="G687:G688"/>
    <mergeCell ref="E688:F688"/>
    <mergeCell ref="T683:U685"/>
    <mergeCell ref="L684:L685"/>
    <mergeCell ref="M684:M685"/>
    <mergeCell ref="N684:N685"/>
    <mergeCell ref="O684:O685"/>
    <mergeCell ref="P684:P685"/>
    <mergeCell ref="Q684:Q685"/>
    <mergeCell ref="R684:R685"/>
    <mergeCell ref="S684:S685"/>
    <mergeCell ref="N682:O682"/>
    <mergeCell ref="P682:Q682"/>
    <mergeCell ref="H683:P683"/>
    <mergeCell ref="Q683:R683"/>
    <mergeCell ref="A682:A711"/>
    <mergeCell ref="B682:B685"/>
    <mergeCell ref="C682:C683"/>
    <mergeCell ref="D682:E682"/>
    <mergeCell ref="D695:D697"/>
    <mergeCell ref="E695:E696"/>
    <mergeCell ref="C697:C698"/>
    <mergeCell ref="B691:B692"/>
    <mergeCell ref="C691:C692"/>
    <mergeCell ref="D691:D693"/>
    <mergeCell ref="T678:U678"/>
    <mergeCell ref="T679:U679"/>
    <mergeCell ref="F681:F685"/>
    <mergeCell ref="G681:G683"/>
    <mergeCell ref="H681:J681"/>
    <mergeCell ref="K681:O681"/>
    <mergeCell ref="P681:S681"/>
    <mergeCell ref="T681:U681"/>
    <mergeCell ref="H682:K682"/>
    <mergeCell ref="L682:M682"/>
    <mergeCell ref="R674:R675"/>
    <mergeCell ref="S674:S676"/>
    <mergeCell ref="H675:L675"/>
    <mergeCell ref="M677:N677"/>
    <mergeCell ref="O677:O678"/>
    <mergeCell ref="H672:L672"/>
    <mergeCell ref="M672:N672"/>
    <mergeCell ref="Q672:R672"/>
    <mergeCell ref="B673:E673"/>
    <mergeCell ref="L667:O667"/>
    <mergeCell ref="P667:P669"/>
    <mergeCell ref="T667:U667"/>
    <mergeCell ref="B668:B669"/>
    <mergeCell ref="F668:F670"/>
    <mergeCell ref="T668:U668"/>
    <mergeCell ref="Q669:R669"/>
    <mergeCell ref="Q670:Q671"/>
    <mergeCell ref="T670:U670"/>
    <mergeCell ref="T671:U671"/>
    <mergeCell ref="H667:H669"/>
    <mergeCell ref="I667:I669"/>
    <mergeCell ref="J667:J671"/>
    <mergeCell ref="K667:K669"/>
    <mergeCell ref="M665:N665"/>
    <mergeCell ref="O665:P665"/>
    <mergeCell ref="T665:U665"/>
    <mergeCell ref="M666:N666"/>
    <mergeCell ref="T666:U666"/>
    <mergeCell ref="H663:K663"/>
    <mergeCell ref="M663:O663"/>
    <mergeCell ref="Q663:R663"/>
    <mergeCell ref="T663:U664"/>
    <mergeCell ref="E659:E661"/>
    <mergeCell ref="T659:U661"/>
    <mergeCell ref="H662:J662"/>
    <mergeCell ref="K662:L662"/>
    <mergeCell ref="M662:O662"/>
    <mergeCell ref="P662:Q662"/>
    <mergeCell ref="S658:S659"/>
    <mergeCell ref="R658:R659"/>
    <mergeCell ref="F659:F660"/>
    <mergeCell ref="M658:M659"/>
    <mergeCell ref="O658:O659"/>
    <mergeCell ref="P658:P659"/>
    <mergeCell ref="Q658:Q659"/>
    <mergeCell ref="H658:H659"/>
    <mergeCell ref="J658:J659"/>
    <mergeCell ref="K658:K659"/>
    <mergeCell ref="L658:L659"/>
    <mergeCell ref="J657:L657"/>
    <mergeCell ref="M657:N657"/>
    <mergeCell ref="P657:R657"/>
    <mergeCell ref="T654:U655"/>
    <mergeCell ref="H656:L656"/>
    <mergeCell ref="M656:N656"/>
    <mergeCell ref="O656:R656"/>
    <mergeCell ref="T656:U656"/>
    <mergeCell ref="T657:U657"/>
    <mergeCell ref="H657:I657"/>
    <mergeCell ref="B655:B656"/>
    <mergeCell ref="C655:C656"/>
    <mergeCell ref="D655:D656"/>
    <mergeCell ref="G655:G656"/>
    <mergeCell ref="E656:F656"/>
    <mergeCell ref="T651:U653"/>
    <mergeCell ref="L652:L653"/>
    <mergeCell ref="M652:M653"/>
    <mergeCell ref="N652:N653"/>
    <mergeCell ref="O652:O653"/>
    <mergeCell ref="P652:P653"/>
    <mergeCell ref="Q652:Q653"/>
    <mergeCell ref="R652:R653"/>
    <mergeCell ref="S652:S653"/>
    <mergeCell ref="N650:O650"/>
    <mergeCell ref="P650:Q650"/>
    <mergeCell ref="H651:P651"/>
    <mergeCell ref="Q651:R651"/>
    <mergeCell ref="A650:A679"/>
    <mergeCell ref="B650:B653"/>
    <mergeCell ref="C650:C651"/>
    <mergeCell ref="D650:E650"/>
    <mergeCell ref="D663:D665"/>
    <mergeCell ref="E663:E664"/>
    <mergeCell ref="C665:C666"/>
    <mergeCell ref="B659:B660"/>
    <mergeCell ref="C659:C660"/>
    <mergeCell ref="D659:D661"/>
    <mergeCell ref="T646:U646"/>
    <mergeCell ref="T647:U647"/>
    <mergeCell ref="F649:F653"/>
    <mergeCell ref="G649:G651"/>
    <mergeCell ref="H649:J649"/>
    <mergeCell ref="K649:O649"/>
    <mergeCell ref="P649:S649"/>
    <mergeCell ref="T649:U649"/>
    <mergeCell ref="H650:K650"/>
    <mergeCell ref="L650:M650"/>
    <mergeCell ref="R642:R643"/>
    <mergeCell ref="S642:S644"/>
    <mergeCell ref="H643:L643"/>
    <mergeCell ref="M645:N645"/>
    <mergeCell ref="O645:O646"/>
    <mergeCell ref="H640:L640"/>
    <mergeCell ref="M640:N640"/>
    <mergeCell ref="Q640:R640"/>
    <mergeCell ref="B641:E641"/>
    <mergeCell ref="L635:O635"/>
    <mergeCell ref="P635:P637"/>
    <mergeCell ref="T635:U635"/>
    <mergeCell ref="B636:B637"/>
    <mergeCell ref="F636:F638"/>
    <mergeCell ref="T636:U636"/>
    <mergeCell ref="Q637:R637"/>
    <mergeCell ref="Q638:Q639"/>
    <mergeCell ref="T638:U638"/>
    <mergeCell ref="T639:U639"/>
    <mergeCell ref="H635:H637"/>
    <mergeCell ref="I635:I637"/>
    <mergeCell ref="J635:J639"/>
    <mergeCell ref="K635:K637"/>
    <mergeCell ref="M633:N633"/>
    <mergeCell ref="O633:P633"/>
    <mergeCell ref="T633:U633"/>
    <mergeCell ref="M634:N634"/>
    <mergeCell ref="T634:U634"/>
    <mergeCell ref="H631:K631"/>
    <mergeCell ref="M631:O631"/>
    <mergeCell ref="Q631:R631"/>
    <mergeCell ref="T631:U632"/>
    <mergeCell ref="E627:E629"/>
    <mergeCell ref="T627:U629"/>
    <mergeCell ref="H630:J630"/>
    <mergeCell ref="K630:L630"/>
    <mergeCell ref="M630:O630"/>
    <mergeCell ref="P630:Q630"/>
    <mergeCell ref="S626:S627"/>
    <mergeCell ref="R626:R627"/>
    <mergeCell ref="F627:F628"/>
    <mergeCell ref="M626:M627"/>
    <mergeCell ref="O626:O627"/>
    <mergeCell ref="P626:P627"/>
    <mergeCell ref="Q626:Q627"/>
    <mergeCell ref="H626:H627"/>
    <mergeCell ref="J626:J627"/>
    <mergeCell ref="K626:K627"/>
    <mergeCell ref="L626:L627"/>
    <mergeCell ref="J625:L625"/>
    <mergeCell ref="M625:N625"/>
    <mergeCell ref="P625:R625"/>
    <mergeCell ref="T622:U623"/>
    <mergeCell ref="H624:L624"/>
    <mergeCell ref="M624:N624"/>
    <mergeCell ref="O624:R624"/>
    <mergeCell ref="T624:U624"/>
    <mergeCell ref="T625:U625"/>
    <mergeCell ref="H625:I625"/>
    <mergeCell ref="B623:B624"/>
    <mergeCell ref="C623:C624"/>
    <mergeCell ref="D623:D624"/>
    <mergeCell ref="G623:G624"/>
    <mergeCell ref="E624:F624"/>
    <mergeCell ref="T619:U621"/>
    <mergeCell ref="L620:L621"/>
    <mergeCell ref="M620:M621"/>
    <mergeCell ref="N620:N621"/>
    <mergeCell ref="O620:O621"/>
    <mergeCell ref="P620:P621"/>
    <mergeCell ref="Q620:Q621"/>
    <mergeCell ref="R620:R621"/>
    <mergeCell ref="S620:S621"/>
    <mergeCell ref="N618:O618"/>
    <mergeCell ref="P618:Q618"/>
    <mergeCell ref="H619:P619"/>
    <mergeCell ref="Q619:R619"/>
    <mergeCell ref="A618:A647"/>
    <mergeCell ref="B618:B621"/>
    <mergeCell ref="C618:C619"/>
    <mergeCell ref="D618:E618"/>
    <mergeCell ref="D631:D633"/>
    <mergeCell ref="E631:E632"/>
    <mergeCell ref="C633:C634"/>
    <mergeCell ref="B627:B628"/>
    <mergeCell ref="C627:C628"/>
    <mergeCell ref="D627:D629"/>
    <mergeCell ref="T614:U614"/>
    <mergeCell ref="T615:U615"/>
    <mergeCell ref="F617:F621"/>
    <mergeCell ref="G617:G619"/>
    <mergeCell ref="H617:J617"/>
    <mergeCell ref="K617:O617"/>
    <mergeCell ref="P617:S617"/>
    <mergeCell ref="T617:U617"/>
    <mergeCell ref="H618:K618"/>
    <mergeCell ref="L618:M618"/>
    <mergeCell ref="R610:R611"/>
    <mergeCell ref="S610:S612"/>
    <mergeCell ref="H611:L611"/>
    <mergeCell ref="M613:N613"/>
    <mergeCell ref="O613:O614"/>
    <mergeCell ref="H608:L608"/>
    <mergeCell ref="M608:N608"/>
    <mergeCell ref="Q608:R608"/>
    <mergeCell ref="B609:E609"/>
    <mergeCell ref="L603:O603"/>
    <mergeCell ref="P603:P605"/>
    <mergeCell ref="T603:U603"/>
    <mergeCell ref="B604:B605"/>
    <mergeCell ref="F604:F606"/>
    <mergeCell ref="T604:U604"/>
    <mergeCell ref="Q605:R605"/>
    <mergeCell ref="Q606:Q607"/>
    <mergeCell ref="T606:U606"/>
    <mergeCell ref="T607:U607"/>
    <mergeCell ref="H603:H605"/>
    <mergeCell ref="I603:I605"/>
    <mergeCell ref="J603:J607"/>
    <mergeCell ref="K603:K605"/>
    <mergeCell ref="M601:N601"/>
    <mergeCell ref="O601:P601"/>
    <mergeCell ref="T601:U601"/>
    <mergeCell ref="M602:N602"/>
    <mergeCell ref="T602:U602"/>
    <mergeCell ref="H599:K599"/>
    <mergeCell ref="M599:O599"/>
    <mergeCell ref="Q599:R599"/>
    <mergeCell ref="T599:U600"/>
    <mergeCell ref="E595:E597"/>
    <mergeCell ref="T595:U597"/>
    <mergeCell ref="H598:J598"/>
    <mergeCell ref="K598:L598"/>
    <mergeCell ref="M598:O598"/>
    <mergeCell ref="P598:Q598"/>
    <mergeCell ref="S594:S595"/>
    <mergeCell ref="R594:R595"/>
    <mergeCell ref="F595:F596"/>
    <mergeCell ref="M594:M595"/>
    <mergeCell ref="O594:O595"/>
    <mergeCell ref="P594:P595"/>
    <mergeCell ref="Q594:Q595"/>
    <mergeCell ref="H594:H595"/>
    <mergeCell ref="J594:J595"/>
    <mergeCell ref="K594:K595"/>
    <mergeCell ref="L594:L595"/>
    <mergeCell ref="J593:L593"/>
    <mergeCell ref="M593:N593"/>
    <mergeCell ref="P593:R593"/>
    <mergeCell ref="T590:U591"/>
    <mergeCell ref="H592:L592"/>
    <mergeCell ref="M592:N592"/>
    <mergeCell ref="O592:R592"/>
    <mergeCell ref="T592:U592"/>
    <mergeCell ref="T593:U593"/>
    <mergeCell ref="H593:I593"/>
    <mergeCell ref="B591:B592"/>
    <mergeCell ref="C591:C592"/>
    <mergeCell ref="D591:D592"/>
    <mergeCell ref="G591:G592"/>
    <mergeCell ref="E592:F592"/>
    <mergeCell ref="T587:U589"/>
    <mergeCell ref="L588:L589"/>
    <mergeCell ref="M588:M589"/>
    <mergeCell ref="N588:N589"/>
    <mergeCell ref="O588:O589"/>
    <mergeCell ref="P588:P589"/>
    <mergeCell ref="Q588:Q589"/>
    <mergeCell ref="R588:R589"/>
    <mergeCell ref="S588:S589"/>
    <mergeCell ref="N586:O586"/>
    <mergeCell ref="P586:Q586"/>
    <mergeCell ref="H587:P587"/>
    <mergeCell ref="Q587:R587"/>
    <mergeCell ref="A586:A615"/>
    <mergeCell ref="B586:B589"/>
    <mergeCell ref="C586:C587"/>
    <mergeCell ref="D586:E586"/>
    <mergeCell ref="D599:D601"/>
    <mergeCell ref="E599:E600"/>
    <mergeCell ref="C601:C602"/>
    <mergeCell ref="B595:B596"/>
    <mergeCell ref="C595:C596"/>
    <mergeCell ref="D595:D597"/>
    <mergeCell ref="T582:U582"/>
    <mergeCell ref="T583:U583"/>
    <mergeCell ref="F585:F589"/>
    <mergeCell ref="G585:G587"/>
    <mergeCell ref="H585:J585"/>
    <mergeCell ref="K585:O585"/>
    <mergeCell ref="P585:S585"/>
    <mergeCell ref="T585:U585"/>
    <mergeCell ref="H586:K586"/>
    <mergeCell ref="L586:M586"/>
    <mergeCell ref="R578:R579"/>
    <mergeCell ref="S578:S580"/>
    <mergeCell ref="H579:L579"/>
    <mergeCell ref="M581:N581"/>
    <mergeCell ref="O581:O582"/>
    <mergeCell ref="H576:L576"/>
    <mergeCell ref="M576:N576"/>
    <mergeCell ref="Q576:R576"/>
    <mergeCell ref="B577:E577"/>
    <mergeCell ref="L571:O571"/>
    <mergeCell ref="P571:P573"/>
    <mergeCell ref="T571:U571"/>
    <mergeCell ref="B572:B573"/>
    <mergeCell ref="F572:F574"/>
    <mergeCell ref="T572:U572"/>
    <mergeCell ref="Q573:R573"/>
    <mergeCell ref="Q574:Q575"/>
    <mergeCell ref="T574:U574"/>
    <mergeCell ref="T575:U575"/>
    <mergeCell ref="H571:H573"/>
    <mergeCell ref="I571:I573"/>
    <mergeCell ref="J571:J575"/>
    <mergeCell ref="K571:K573"/>
    <mergeCell ref="M569:N569"/>
    <mergeCell ref="O569:P569"/>
    <mergeCell ref="T569:U569"/>
    <mergeCell ref="M570:N570"/>
    <mergeCell ref="T570:U570"/>
    <mergeCell ref="H567:K567"/>
    <mergeCell ref="M567:O567"/>
    <mergeCell ref="Q567:R567"/>
    <mergeCell ref="T567:U568"/>
    <mergeCell ref="E563:E565"/>
    <mergeCell ref="T563:U565"/>
    <mergeCell ref="H566:J566"/>
    <mergeCell ref="K566:L566"/>
    <mergeCell ref="M566:O566"/>
    <mergeCell ref="P566:Q566"/>
    <mergeCell ref="S562:S563"/>
    <mergeCell ref="R562:R563"/>
    <mergeCell ref="F563:F564"/>
    <mergeCell ref="M562:M563"/>
    <mergeCell ref="O562:O563"/>
    <mergeCell ref="P562:P563"/>
    <mergeCell ref="Q562:Q563"/>
    <mergeCell ref="H562:H563"/>
    <mergeCell ref="J562:J563"/>
    <mergeCell ref="K562:K563"/>
    <mergeCell ref="L562:L563"/>
    <mergeCell ref="J561:L561"/>
    <mergeCell ref="M561:N561"/>
    <mergeCell ref="P561:R561"/>
    <mergeCell ref="T558:U559"/>
    <mergeCell ref="H560:L560"/>
    <mergeCell ref="M560:N560"/>
    <mergeCell ref="O560:R560"/>
    <mergeCell ref="T560:U560"/>
    <mergeCell ref="T561:U561"/>
    <mergeCell ref="H561:I561"/>
    <mergeCell ref="B559:B560"/>
    <mergeCell ref="C559:C560"/>
    <mergeCell ref="D559:D560"/>
    <mergeCell ref="G559:G560"/>
    <mergeCell ref="E560:F560"/>
    <mergeCell ref="T555:U557"/>
    <mergeCell ref="L556:L557"/>
    <mergeCell ref="M556:M557"/>
    <mergeCell ref="N556:N557"/>
    <mergeCell ref="O556:O557"/>
    <mergeCell ref="P556:P557"/>
    <mergeCell ref="Q556:Q557"/>
    <mergeCell ref="R556:R557"/>
    <mergeCell ref="S556:S557"/>
    <mergeCell ref="N554:O554"/>
    <mergeCell ref="P554:Q554"/>
    <mergeCell ref="H555:P555"/>
    <mergeCell ref="Q555:R555"/>
    <mergeCell ref="A554:A583"/>
    <mergeCell ref="B554:B557"/>
    <mergeCell ref="C554:C555"/>
    <mergeCell ref="D554:E554"/>
    <mergeCell ref="D567:D569"/>
    <mergeCell ref="E567:E568"/>
    <mergeCell ref="C569:C570"/>
    <mergeCell ref="B563:B564"/>
    <mergeCell ref="C563:C564"/>
    <mergeCell ref="D563:D565"/>
    <mergeCell ref="T550:U550"/>
    <mergeCell ref="T551:U551"/>
    <mergeCell ref="F553:F557"/>
    <mergeCell ref="G553:G555"/>
    <mergeCell ref="H553:J553"/>
    <mergeCell ref="K553:O553"/>
    <mergeCell ref="P553:S553"/>
    <mergeCell ref="T553:U553"/>
    <mergeCell ref="H554:K554"/>
    <mergeCell ref="L554:M554"/>
    <mergeCell ref="R546:R547"/>
    <mergeCell ref="S546:S548"/>
    <mergeCell ref="H547:L547"/>
    <mergeCell ref="M549:N549"/>
    <mergeCell ref="O549:O550"/>
    <mergeCell ref="H544:L544"/>
    <mergeCell ref="M544:N544"/>
    <mergeCell ref="Q544:R544"/>
    <mergeCell ref="B545:E545"/>
    <mergeCell ref="L539:O539"/>
    <mergeCell ref="P539:P541"/>
    <mergeCell ref="T539:U539"/>
    <mergeCell ref="B540:B541"/>
    <mergeCell ref="F540:F542"/>
    <mergeCell ref="T540:U540"/>
    <mergeCell ref="Q541:R541"/>
    <mergeCell ref="Q542:Q543"/>
    <mergeCell ref="T542:U542"/>
    <mergeCell ref="T543:U543"/>
    <mergeCell ref="H539:H541"/>
    <mergeCell ref="I539:I541"/>
    <mergeCell ref="J539:J543"/>
    <mergeCell ref="K539:K541"/>
    <mergeCell ref="M537:N537"/>
    <mergeCell ref="O537:P537"/>
    <mergeCell ref="T537:U537"/>
    <mergeCell ref="M538:N538"/>
    <mergeCell ref="T538:U538"/>
    <mergeCell ref="H535:K535"/>
    <mergeCell ref="M535:O535"/>
    <mergeCell ref="Q535:R535"/>
    <mergeCell ref="T535:U536"/>
    <mergeCell ref="E531:E533"/>
    <mergeCell ref="T531:U533"/>
    <mergeCell ref="H534:J534"/>
    <mergeCell ref="K534:L534"/>
    <mergeCell ref="M534:O534"/>
    <mergeCell ref="P534:Q534"/>
    <mergeCell ref="S530:S531"/>
    <mergeCell ref="R530:R531"/>
    <mergeCell ref="F531:F532"/>
    <mergeCell ref="M530:M531"/>
    <mergeCell ref="O530:O531"/>
    <mergeCell ref="P530:P531"/>
    <mergeCell ref="Q530:Q531"/>
    <mergeCell ref="H530:H531"/>
    <mergeCell ref="J530:J531"/>
    <mergeCell ref="K530:K531"/>
    <mergeCell ref="L530:L531"/>
    <mergeCell ref="J529:L529"/>
    <mergeCell ref="M529:N529"/>
    <mergeCell ref="P529:R529"/>
    <mergeCell ref="T526:U527"/>
    <mergeCell ref="H528:L528"/>
    <mergeCell ref="M528:N528"/>
    <mergeCell ref="O528:R528"/>
    <mergeCell ref="T528:U528"/>
    <mergeCell ref="T529:U529"/>
    <mergeCell ref="H529:I529"/>
    <mergeCell ref="B527:B528"/>
    <mergeCell ref="C527:C528"/>
    <mergeCell ref="D527:D528"/>
    <mergeCell ref="G527:G528"/>
    <mergeCell ref="E528:F528"/>
    <mergeCell ref="T523:U525"/>
    <mergeCell ref="L524:L525"/>
    <mergeCell ref="M524:M525"/>
    <mergeCell ref="N524:N525"/>
    <mergeCell ref="O524:O525"/>
    <mergeCell ref="P524:P525"/>
    <mergeCell ref="Q524:Q525"/>
    <mergeCell ref="R524:R525"/>
    <mergeCell ref="S524:S525"/>
    <mergeCell ref="N522:O522"/>
    <mergeCell ref="P522:Q522"/>
    <mergeCell ref="H523:P523"/>
    <mergeCell ref="Q523:R523"/>
    <mergeCell ref="A522:A551"/>
    <mergeCell ref="B522:B525"/>
    <mergeCell ref="C522:C523"/>
    <mergeCell ref="D522:E522"/>
    <mergeCell ref="D535:D537"/>
    <mergeCell ref="E535:E536"/>
    <mergeCell ref="C537:C538"/>
    <mergeCell ref="B531:B532"/>
    <mergeCell ref="C531:C532"/>
    <mergeCell ref="D531:D533"/>
    <mergeCell ref="T518:U518"/>
    <mergeCell ref="T519:U519"/>
    <mergeCell ref="F521:F525"/>
    <mergeCell ref="G521:G523"/>
    <mergeCell ref="H521:J521"/>
    <mergeCell ref="K521:O521"/>
    <mergeCell ref="P521:S521"/>
    <mergeCell ref="T521:U521"/>
    <mergeCell ref="H522:K522"/>
    <mergeCell ref="L522:M522"/>
    <mergeCell ref="R514:R515"/>
    <mergeCell ref="S514:S516"/>
    <mergeCell ref="H515:L515"/>
    <mergeCell ref="M517:N517"/>
    <mergeCell ref="O517:O518"/>
    <mergeCell ref="H512:L512"/>
    <mergeCell ref="M512:N512"/>
    <mergeCell ref="Q512:R512"/>
    <mergeCell ref="B513:E513"/>
    <mergeCell ref="L507:O507"/>
    <mergeCell ref="P507:P509"/>
    <mergeCell ref="T507:U507"/>
    <mergeCell ref="B508:B509"/>
    <mergeCell ref="F508:F510"/>
    <mergeCell ref="T508:U508"/>
    <mergeCell ref="Q509:R509"/>
    <mergeCell ref="Q510:Q511"/>
    <mergeCell ref="T510:U510"/>
    <mergeCell ref="T511:U511"/>
    <mergeCell ref="H507:H509"/>
    <mergeCell ref="I507:I509"/>
    <mergeCell ref="J507:J511"/>
    <mergeCell ref="K507:K509"/>
    <mergeCell ref="M505:N505"/>
    <mergeCell ref="O505:P505"/>
    <mergeCell ref="T505:U505"/>
    <mergeCell ref="M506:N506"/>
    <mergeCell ref="T506:U506"/>
    <mergeCell ref="H503:K503"/>
    <mergeCell ref="M503:O503"/>
    <mergeCell ref="Q503:R503"/>
    <mergeCell ref="T503:U504"/>
    <mergeCell ref="E499:E501"/>
    <mergeCell ref="T499:U501"/>
    <mergeCell ref="H502:J502"/>
    <mergeCell ref="K502:L502"/>
    <mergeCell ref="M502:O502"/>
    <mergeCell ref="P502:Q502"/>
    <mergeCell ref="S498:S499"/>
    <mergeCell ref="R498:R499"/>
    <mergeCell ref="F499:F500"/>
    <mergeCell ref="M498:M499"/>
    <mergeCell ref="O498:O499"/>
    <mergeCell ref="P498:P499"/>
    <mergeCell ref="Q498:Q499"/>
    <mergeCell ref="H498:H499"/>
    <mergeCell ref="J498:J499"/>
    <mergeCell ref="K498:K499"/>
    <mergeCell ref="L498:L499"/>
    <mergeCell ref="J497:L497"/>
    <mergeCell ref="M497:N497"/>
    <mergeCell ref="P497:R497"/>
    <mergeCell ref="T494:U495"/>
    <mergeCell ref="H496:L496"/>
    <mergeCell ref="M496:N496"/>
    <mergeCell ref="O496:R496"/>
    <mergeCell ref="T496:U496"/>
    <mergeCell ref="T497:U497"/>
    <mergeCell ref="H497:I497"/>
    <mergeCell ref="B495:B496"/>
    <mergeCell ref="C495:C496"/>
    <mergeCell ref="D495:D496"/>
    <mergeCell ref="G495:G496"/>
    <mergeCell ref="E496:F496"/>
    <mergeCell ref="T491:U493"/>
    <mergeCell ref="L492:L493"/>
    <mergeCell ref="M492:M493"/>
    <mergeCell ref="N492:N493"/>
    <mergeCell ref="O492:O493"/>
    <mergeCell ref="P492:P493"/>
    <mergeCell ref="Q492:Q493"/>
    <mergeCell ref="R492:R493"/>
    <mergeCell ref="S492:S493"/>
    <mergeCell ref="N490:O490"/>
    <mergeCell ref="P490:Q490"/>
    <mergeCell ref="H491:P491"/>
    <mergeCell ref="Q491:R491"/>
    <mergeCell ref="A490:A519"/>
    <mergeCell ref="B490:B493"/>
    <mergeCell ref="C490:C491"/>
    <mergeCell ref="D490:E490"/>
    <mergeCell ref="D503:D505"/>
    <mergeCell ref="E503:E504"/>
    <mergeCell ref="C505:C506"/>
    <mergeCell ref="B499:B500"/>
    <mergeCell ref="C499:C500"/>
    <mergeCell ref="D499:D501"/>
    <mergeCell ref="T486:U486"/>
    <mergeCell ref="T487:U487"/>
    <mergeCell ref="F489:F493"/>
    <mergeCell ref="G489:G491"/>
    <mergeCell ref="H489:J489"/>
    <mergeCell ref="K489:O489"/>
    <mergeCell ref="P489:S489"/>
    <mergeCell ref="T489:U489"/>
    <mergeCell ref="H490:K490"/>
    <mergeCell ref="L490:M490"/>
    <mergeCell ref="R482:R483"/>
    <mergeCell ref="S482:S484"/>
    <mergeCell ref="H483:L483"/>
    <mergeCell ref="M485:N485"/>
    <mergeCell ref="O485:O486"/>
    <mergeCell ref="H480:L480"/>
    <mergeCell ref="M480:N480"/>
    <mergeCell ref="Q480:R480"/>
    <mergeCell ref="B481:E481"/>
    <mergeCell ref="L475:O475"/>
    <mergeCell ref="P475:P477"/>
    <mergeCell ref="T475:U475"/>
    <mergeCell ref="B476:B477"/>
    <mergeCell ref="F476:F478"/>
    <mergeCell ref="T476:U476"/>
    <mergeCell ref="Q477:R477"/>
    <mergeCell ref="Q478:Q479"/>
    <mergeCell ref="T478:U478"/>
    <mergeCell ref="T479:U479"/>
    <mergeCell ref="H475:H477"/>
    <mergeCell ref="I475:I477"/>
    <mergeCell ref="J475:J479"/>
    <mergeCell ref="K475:K477"/>
    <mergeCell ref="M473:N473"/>
    <mergeCell ref="O473:P473"/>
    <mergeCell ref="T473:U473"/>
    <mergeCell ref="M474:N474"/>
    <mergeCell ref="T474:U474"/>
    <mergeCell ref="H471:K471"/>
    <mergeCell ref="M471:O471"/>
    <mergeCell ref="Q471:R471"/>
    <mergeCell ref="T471:U472"/>
    <mergeCell ref="E467:E469"/>
    <mergeCell ref="T467:U469"/>
    <mergeCell ref="H470:J470"/>
    <mergeCell ref="K470:L470"/>
    <mergeCell ref="M470:O470"/>
    <mergeCell ref="P470:Q470"/>
    <mergeCell ref="S466:S467"/>
    <mergeCell ref="R466:R467"/>
    <mergeCell ref="F467:F468"/>
    <mergeCell ref="M466:M467"/>
    <mergeCell ref="O466:O467"/>
    <mergeCell ref="P466:P467"/>
    <mergeCell ref="Q466:Q467"/>
    <mergeCell ref="H466:H467"/>
    <mergeCell ref="J466:J467"/>
    <mergeCell ref="K466:K467"/>
    <mergeCell ref="L466:L467"/>
    <mergeCell ref="J465:L465"/>
    <mergeCell ref="M465:N465"/>
    <mergeCell ref="P465:R465"/>
    <mergeCell ref="T462:U463"/>
    <mergeCell ref="H464:L464"/>
    <mergeCell ref="M464:N464"/>
    <mergeCell ref="O464:R464"/>
    <mergeCell ref="T464:U464"/>
    <mergeCell ref="T465:U465"/>
    <mergeCell ref="H465:I465"/>
    <mergeCell ref="B463:B464"/>
    <mergeCell ref="C463:C464"/>
    <mergeCell ref="D463:D464"/>
    <mergeCell ref="G463:G464"/>
    <mergeCell ref="E464:F464"/>
    <mergeCell ref="T459:U461"/>
    <mergeCell ref="L460:L461"/>
    <mergeCell ref="M460:M461"/>
    <mergeCell ref="N460:N461"/>
    <mergeCell ref="O460:O461"/>
    <mergeCell ref="P460:P461"/>
    <mergeCell ref="Q460:Q461"/>
    <mergeCell ref="R460:R461"/>
    <mergeCell ref="S460:S461"/>
    <mergeCell ref="N458:O458"/>
    <mergeCell ref="P458:Q458"/>
    <mergeCell ref="H459:P459"/>
    <mergeCell ref="Q459:R459"/>
    <mergeCell ref="A458:A487"/>
    <mergeCell ref="B458:B461"/>
    <mergeCell ref="C458:C459"/>
    <mergeCell ref="D458:E458"/>
    <mergeCell ref="D471:D473"/>
    <mergeCell ref="E471:E472"/>
    <mergeCell ref="C473:C474"/>
    <mergeCell ref="B467:B468"/>
    <mergeCell ref="C467:C468"/>
    <mergeCell ref="D467:D469"/>
    <mergeCell ref="T454:U454"/>
    <mergeCell ref="T455:U455"/>
    <mergeCell ref="F457:F461"/>
    <mergeCell ref="G457:G459"/>
    <mergeCell ref="H457:J457"/>
    <mergeCell ref="K457:O457"/>
    <mergeCell ref="P457:S457"/>
    <mergeCell ref="T457:U457"/>
    <mergeCell ref="H458:K458"/>
    <mergeCell ref="L458:M458"/>
    <mergeCell ref="R450:R451"/>
    <mergeCell ref="S450:S452"/>
    <mergeCell ref="H451:L451"/>
    <mergeCell ref="M453:N453"/>
    <mergeCell ref="O453:O454"/>
    <mergeCell ref="H448:L448"/>
    <mergeCell ref="M448:N448"/>
    <mergeCell ref="Q448:R448"/>
    <mergeCell ref="B449:E449"/>
    <mergeCell ref="L443:O443"/>
    <mergeCell ref="P443:P445"/>
    <mergeCell ref="T443:U443"/>
    <mergeCell ref="B444:B445"/>
    <mergeCell ref="F444:F446"/>
    <mergeCell ref="T444:U444"/>
    <mergeCell ref="Q445:R445"/>
    <mergeCell ref="Q446:Q447"/>
    <mergeCell ref="T446:U446"/>
    <mergeCell ref="T447:U447"/>
    <mergeCell ref="H443:H445"/>
    <mergeCell ref="I443:I445"/>
    <mergeCell ref="J443:J447"/>
    <mergeCell ref="K443:K445"/>
    <mergeCell ref="M441:N441"/>
    <mergeCell ref="O441:P441"/>
    <mergeCell ref="T441:U441"/>
    <mergeCell ref="M442:N442"/>
    <mergeCell ref="T442:U442"/>
    <mergeCell ref="H439:K439"/>
    <mergeCell ref="M439:O439"/>
    <mergeCell ref="Q439:R439"/>
    <mergeCell ref="T439:U440"/>
    <mergeCell ref="E435:E437"/>
    <mergeCell ref="T435:U437"/>
    <mergeCell ref="H438:J438"/>
    <mergeCell ref="K438:L438"/>
    <mergeCell ref="M438:O438"/>
    <mergeCell ref="P438:Q438"/>
    <mergeCell ref="S434:S435"/>
    <mergeCell ref="R434:R435"/>
    <mergeCell ref="F435:F436"/>
    <mergeCell ref="M434:M435"/>
    <mergeCell ref="O434:O435"/>
    <mergeCell ref="P434:P435"/>
    <mergeCell ref="Q434:Q435"/>
    <mergeCell ref="H434:H435"/>
    <mergeCell ref="J434:J435"/>
    <mergeCell ref="K434:K435"/>
    <mergeCell ref="L434:L435"/>
    <mergeCell ref="J433:L433"/>
    <mergeCell ref="M433:N433"/>
    <mergeCell ref="P433:R433"/>
    <mergeCell ref="T430:U431"/>
    <mergeCell ref="H432:L432"/>
    <mergeCell ref="M432:N432"/>
    <mergeCell ref="O432:R432"/>
    <mergeCell ref="T432:U432"/>
    <mergeCell ref="T433:U433"/>
    <mergeCell ref="H433:I433"/>
    <mergeCell ref="B431:B432"/>
    <mergeCell ref="C431:C432"/>
    <mergeCell ref="D431:D432"/>
    <mergeCell ref="G431:G432"/>
    <mergeCell ref="E432:F432"/>
    <mergeCell ref="T427:U429"/>
    <mergeCell ref="L428:L429"/>
    <mergeCell ref="M428:M429"/>
    <mergeCell ref="N428:N429"/>
    <mergeCell ref="O428:O429"/>
    <mergeCell ref="P428:P429"/>
    <mergeCell ref="Q428:Q429"/>
    <mergeCell ref="R428:R429"/>
    <mergeCell ref="S428:S429"/>
    <mergeCell ref="N426:O426"/>
    <mergeCell ref="P426:Q426"/>
    <mergeCell ref="H427:P427"/>
    <mergeCell ref="Q427:R427"/>
    <mergeCell ref="A426:A455"/>
    <mergeCell ref="B426:B429"/>
    <mergeCell ref="C426:C427"/>
    <mergeCell ref="D426:E426"/>
    <mergeCell ref="D439:D441"/>
    <mergeCell ref="E439:E440"/>
    <mergeCell ref="C441:C442"/>
    <mergeCell ref="B435:B436"/>
    <mergeCell ref="C435:C436"/>
    <mergeCell ref="D435:D437"/>
    <mergeCell ref="T422:U422"/>
    <mergeCell ref="T423:U423"/>
    <mergeCell ref="F425:F429"/>
    <mergeCell ref="G425:G427"/>
    <mergeCell ref="H425:J425"/>
    <mergeCell ref="K425:O425"/>
    <mergeCell ref="P425:S425"/>
    <mergeCell ref="T425:U425"/>
    <mergeCell ref="H426:K426"/>
    <mergeCell ref="L426:M426"/>
    <mergeCell ref="R418:R419"/>
    <mergeCell ref="S418:S420"/>
    <mergeCell ref="H419:L419"/>
    <mergeCell ref="M421:N421"/>
    <mergeCell ref="O421:O422"/>
    <mergeCell ref="H416:L416"/>
    <mergeCell ref="M416:N416"/>
    <mergeCell ref="Q416:R416"/>
    <mergeCell ref="B417:E417"/>
    <mergeCell ref="L411:O411"/>
    <mergeCell ref="P411:P413"/>
    <mergeCell ref="T411:U411"/>
    <mergeCell ref="B412:B413"/>
    <mergeCell ref="F412:F414"/>
    <mergeCell ref="T412:U412"/>
    <mergeCell ref="Q413:R413"/>
    <mergeCell ref="Q414:Q415"/>
    <mergeCell ref="T414:U414"/>
    <mergeCell ref="T415:U415"/>
    <mergeCell ref="H411:H413"/>
    <mergeCell ref="I411:I413"/>
    <mergeCell ref="J411:J415"/>
    <mergeCell ref="K411:K413"/>
    <mergeCell ref="M409:N409"/>
    <mergeCell ref="O409:P409"/>
    <mergeCell ref="T409:U409"/>
    <mergeCell ref="M410:N410"/>
    <mergeCell ref="T410:U410"/>
    <mergeCell ref="H407:K407"/>
    <mergeCell ref="M407:O407"/>
    <mergeCell ref="Q407:R407"/>
    <mergeCell ref="T407:U408"/>
    <mergeCell ref="E403:E405"/>
    <mergeCell ref="T403:U405"/>
    <mergeCell ref="H406:J406"/>
    <mergeCell ref="K406:L406"/>
    <mergeCell ref="M406:O406"/>
    <mergeCell ref="P406:Q406"/>
    <mergeCell ref="S402:S403"/>
    <mergeCell ref="R402:R403"/>
    <mergeCell ref="F403:F404"/>
    <mergeCell ref="M402:M403"/>
    <mergeCell ref="O402:O403"/>
    <mergeCell ref="P402:P403"/>
    <mergeCell ref="Q402:Q403"/>
    <mergeCell ref="H402:H403"/>
    <mergeCell ref="J402:J403"/>
    <mergeCell ref="K402:K403"/>
    <mergeCell ref="L402:L403"/>
    <mergeCell ref="J401:L401"/>
    <mergeCell ref="M401:N401"/>
    <mergeCell ref="P401:R401"/>
    <mergeCell ref="T398:U399"/>
    <mergeCell ref="H400:L400"/>
    <mergeCell ref="M400:N400"/>
    <mergeCell ref="O400:R400"/>
    <mergeCell ref="T400:U400"/>
    <mergeCell ref="T401:U401"/>
    <mergeCell ref="H401:I401"/>
    <mergeCell ref="B399:B400"/>
    <mergeCell ref="C399:C400"/>
    <mergeCell ref="D399:D400"/>
    <mergeCell ref="G399:G400"/>
    <mergeCell ref="E400:F400"/>
    <mergeCell ref="T395:U397"/>
    <mergeCell ref="L396:L397"/>
    <mergeCell ref="M396:M397"/>
    <mergeCell ref="N396:N397"/>
    <mergeCell ref="O396:O397"/>
    <mergeCell ref="P396:P397"/>
    <mergeCell ref="Q396:Q397"/>
    <mergeCell ref="R396:R397"/>
    <mergeCell ref="S396:S397"/>
    <mergeCell ref="N394:O394"/>
    <mergeCell ref="P394:Q394"/>
    <mergeCell ref="H395:P395"/>
    <mergeCell ref="Q395:R395"/>
    <mergeCell ref="A394:A423"/>
    <mergeCell ref="B394:B397"/>
    <mergeCell ref="C394:C395"/>
    <mergeCell ref="D394:E394"/>
    <mergeCell ref="D407:D409"/>
    <mergeCell ref="E407:E408"/>
    <mergeCell ref="C409:C410"/>
    <mergeCell ref="B403:B404"/>
    <mergeCell ref="C403:C404"/>
    <mergeCell ref="D403:D405"/>
    <mergeCell ref="T390:U390"/>
    <mergeCell ref="T391:U391"/>
    <mergeCell ref="F393:F397"/>
    <mergeCell ref="G393:G395"/>
    <mergeCell ref="H393:J393"/>
    <mergeCell ref="K393:O393"/>
    <mergeCell ref="P393:S393"/>
    <mergeCell ref="T393:U393"/>
    <mergeCell ref="H394:K394"/>
    <mergeCell ref="L394:M394"/>
    <mergeCell ref="R386:R387"/>
    <mergeCell ref="S386:S388"/>
    <mergeCell ref="H387:L387"/>
    <mergeCell ref="M389:N389"/>
    <mergeCell ref="O389:O390"/>
    <mergeCell ref="H384:L384"/>
    <mergeCell ref="M384:N384"/>
    <mergeCell ref="Q384:R384"/>
    <mergeCell ref="B385:E385"/>
    <mergeCell ref="L379:O379"/>
    <mergeCell ref="P379:P381"/>
    <mergeCell ref="T379:U379"/>
    <mergeCell ref="B380:B381"/>
    <mergeCell ref="F380:F382"/>
    <mergeCell ref="T380:U380"/>
    <mergeCell ref="Q381:R381"/>
    <mergeCell ref="Q382:Q383"/>
    <mergeCell ref="T382:U382"/>
    <mergeCell ref="T383:U383"/>
    <mergeCell ref="H379:H381"/>
    <mergeCell ref="I379:I381"/>
    <mergeCell ref="J379:J383"/>
    <mergeCell ref="K379:K381"/>
    <mergeCell ref="M377:N377"/>
    <mergeCell ref="O377:P377"/>
    <mergeCell ref="T377:U377"/>
    <mergeCell ref="M378:N378"/>
    <mergeCell ref="T378:U378"/>
    <mergeCell ref="H375:K375"/>
    <mergeCell ref="M375:O375"/>
    <mergeCell ref="Q375:R375"/>
    <mergeCell ref="T375:U376"/>
    <mergeCell ref="E371:E373"/>
    <mergeCell ref="T371:U373"/>
    <mergeCell ref="H374:J374"/>
    <mergeCell ref="K374:L374"/>
    <mergeCell ref="M374:O374"/>
    <mergeCell ref="P374:Q374"/>
    <mergeCell ref="S370:S371"/>
    <mergeCell ref="R370:R371"/>
    <mergeCell ref="F371:F372"/>
    <mergeCell ref="M370:M371"/>
    <mergeCell ref="O370:O371"/>
    <mergeCell ref="P370:P371"/>
    <mergeCell ref="Q370:Q371"/>
    <mergeCell ref="H370:H371"/>
    <mergeCell ref="J370:J371"/>
    <mergeCell ref="K370:K371"/>
    <mergeCell ref="L370:L371"/>
    <mergeCell ref="J369:L369"/>
    <mergeCell ref="M369:N369"/>
    <mergeCell ref="P369:R369"/>
    <mergeCell ref="T366:U367"/>
    <mergeCell ref="H368:L368"/>
    <mergeCell ref="M368:N368"/>
    <mergeCell ref="O368:R368"/>
    <mergeCell ref="T368:U368"/>
    <mergeCell ref="T369:U369"/>
    <mergeCell ref="H369:I369"/>
    <mergeCell ref="B367:B368"/>
    <mergeCell ref="C367:C368"/>
    <mergeCell ref="D367:D368"/>
    <mergeCell ref="G367:G368"/>
    <mergeCell ref="E368:F368"/>
    <mergeCell ref="T363:U365"/>
    <mergeCell ref="L364:L365"/>
    <mergeCell ref="M364:M365"/>
    <mergeCell ref="N364:N365"/>
    <mergeCell ref="O364:O365"/>
    <mergeCell ref="P364:P365"/>
    <mergeCell ref="Q364:Q365"/>
    <mergeCell ref="R364:R365"/>
    <mergeCell ref="S364:S365"/>
    <mergeCell ref="N362:O362"/>
    <mergeCell ref="P362:Q362"/>
    <mergeCell ref="H363:P363"/>
    <mergeCell ref="Q363:R363"/>
    <mergeCell ref="A362:A391"/>
    <mergeCell ref="B362:B365"/>
    <mergeCell ref="C362:C363"/>
    <mergeCell ref="D362:E362"/>
    <mergeCell ref="D375:D377"/>
    <mergeCell ref="E375:E376"/>
    <mergeCell ref="C377:C378"/>
    <mergeCell ref="B371:B372"/>
    <mergeCell ref="C371:C372"/>
    <mergeCell ref="D371:D373"/>
    <mergeCell ref="T358:U358"/>
    <mergeCell ref="T359:U359"/>
    <mergeCell ref="F361:F365"/>
    <mergeCell ref="G361:G363"/>
    <mergeCell ref="H361:J361"/>
    <mergeCell ref="K361:O361"/>
    <mergeCell ref="P361:S361"/>
    <mergeCell ref="T361:U361"/>
    <mergeCell ref="H362:K362"/>
    <mergeCell ref="L362:M362"/>
    <mergeCell ref="R354:R355"/>
    <mergeCell ref="S354:S356"/>
    <mergeCell ref="H355:L355"/>
    <mergeCell ref="M357:N357"/>
    <mergeCell ref="O357:O358"/>
    <mergeCell ref="H352:L352"/>
    <mergeCell ref="M352:N352"/>
    <mergeCell ref="Q352:R352"/>
    <mergeCell ref="B353:E353"/>
    <mergeCell ref="L347:O347"/>
    <mergeCell ref="P347:P349"/>
    <mergeCell ref="T347:U347"/>
    <mergeCell ref="B348:B349"/>
    <mergeCell ref="F348:F350"/>
    <mergeCell ref="T348:U348"/>
    <mergeCell ref="Q349:R349"/>
    <mergeCell ref="Q350:Q351"/>
    <mergeCell ref="T350:U350"/>
    <mergeCell ref="T351:U351"/>
    <mergeCell ref="H347:H349"/>
    <mergeCell ref="I347:I349"/>
    <mergeCell ref="J347:J351"/>
    <mergeCell ref="K347:K349"/>
    <mergeCell ref="M345:N345"/>
    <mergeCell ref="O345:P345"/>
    <mergeCell ref="T345:U345"/>
    <mergeCell ref="M346:N346"/>
    <mergeCell ref="T346:U346"/>
    <mergeCell ref="H343:K343"/>
    <mergeCell ref="M343:O343"/>
    <mergeCell ref="Q343:R343"/>
    <mergeCell ref="T343:U344"/>
    <mergeCell ref="E339:E341"/>
    <mergeCell ref="T339:U341"/>
    <mergeCell ref="H342:J342"/>
    <mergeCell ref="K342:L342"/>
    <mergeCell ref="M342:O342"/>
    <mergeCell ref="P342:Q342"/>
    <mergeCell ref="S338:S339"/>
    <mergeCell ref="R338:R339"/>
    <mergeCell ref="F339:F340"/>
    <mergeCell ref="M338:M339"/>
    <mergeCell ref="O338:O339"/>
    <mergeCell ref="P338:P339"/>
    <mergeCell ref="Q338:Q339"/>
    <mergeCell ref="H338:H339"/>
    <mergeCell ref="J338:J339"/>
    <mergeCell ref="K338:K339"/>
    <mergeCell ref="L338:L339"/>
    <mergeCell ref="J337:L337"/>
    <mergeCell ref="M337:N337"/>
    <mergeCell ref="P337:R337"/>
    <mergeCell ref="T334:U335"/>
    <mergeCell ref="H336:L336"/>
    <mergeCell ref="M336:N336"/>
    <mergeCell ref="O336:R336"/>
    <mergeCell ref="T336:U336"/>
    <mergeCell ref="T337:U337"/>
    <mergeCell ref="H337:I337"/>
    <mergeCell ref="B335:B336"/>
    <mergeCell ref="C335:C336"/>
    <mergeCell ref="D335:D336"/>
    <mergeCell ref="G335:G336"/>
    <mergeCell ref="E336:F336"/>
    <mergeCell ref="T331:U333"/>
    <mergeCell ref="L332:L333"/>
    <mergeCell ref="M332:M333"/>
    <mergeCell ref="N332:N333"/>
    <mergeCell ref="O332:O333"/>
    <mergeCell ref="P332:P333"/>
    <mergeCell ref="Q332:Q333"/>
    <mergeCell ref="R332:R333"/>
    <mergeCell ref="S332:S333"/>
    <mergeCell ref="N330:O330"/>
    <mergeCell ref="P330:Q330"/>
    <mergeCell ref="H331:P331"/>
    <mergeCell ref="Q331:R331"/>
    <mergeCell ref="A330:A359"/>
    <mergeCell ref="B330:B333"/>
    <mergeCell ref="C330:C331"/>
    <mergeCell ref="D330:E330"/>
    <mergeCell ref="D343:D345"/>
    <mergeCell ref="E343:E344"/>
    <mergeCell ref="C345:C346"/>
    <mergeCell ref="B339:B340"/>
    <mergeCell ref="C339:C340"/>
    <mergeCell ref="D339:D341"/>
    <mergeCell ref="T326:U326"/>
    <mergeCell ref="T327:U327"/>
    <mergeCell ref="F329:F333"/>
    <mergeCell ref="G329:G331"/>
    <mergeCell ref="H329:J329"/>
    <mergeCell ref="K329:O329"/>
    <mergeCell ref="P329:S329"/>
    <mergeCell ref="T329:U329"/>
    <mergeCell ref="H330:K330"/>
    <mergeCell ref="L330:M330"/>
    <mergeCell ref="R322:R323"/>
    <mergeCell ref="S322:S324"/>
    <mergeCell ref="H323:L323"/>
    <mergeCell ref="M325:N325"/>
    <mergeCell ref="O325:O326"/>
    <mergeCell ref="H320:L320"/>
    <mergeCell ref="M320:N320"/>
    <mergeCell ref="Q320:R320"/>
    <mergeCell ref="B321:E321"/>
    <mergeCell ref="L315:O315"/>
    <mergeCell ref="P315:P317"/>
    <mergeCell ref="T315:U315"/>
    <mergeCell ref="B316:B317"/>
    <mergeCell ref="F316:F318"/>
    <mergeCell ref="T316:U316"/>
    <mergeCell ref="Q317:R317"/>
    <mergeCell ref="Q318:Q319"/>
    <mergeCell ref="T318:U318"/>
    <mergeCell ref="T319:U319"/>
    <mergeCell ref="H315:H317"/>
    <mergeCell ref="I315:I317"/>
    <mergeCell ref="J315:J319"/>
    <mergeCell ref="K315:K317"/>
    <mergeCell ref="M313:N313"/>
    <mergeCell ref="O313:P313"/>
    <mergeCell ref="T313:U313"/>
    <mergeCell ref="M314:N314"/>
    <mergeCell ref="T314:U314"/>
    <mergeCell ref="H311:K311"/>
    <mergeCell ref="M311:O311"/>
    <mergeCell ref="Q311:R311"/>
    <mergeCell ref="T311:U312"/>
    <mergeCell ref="E307:E309"/>
    <mergeCell ref="T307:U309"/>
    <mergeCell ref="H310:J310"/>
    <mergeCell ref="K310:L310"/>
    <mergeCell ref="M310:O310"/>
    <mergeCell ref="P310:Q310"/>
    <mergeCell ref="S306:S307"/>
    <mergeCell ref="R306:R307"/>
    <mergeCell ref="F307:F308"/>
    <mergeCell ref="M306:M307"/>
    <mergeCell ref="O306:O307"/>
    <mergeCell ref="P306:P307"/>
    <mergeCell ref="Q306:Q307"/>
    <mergeCell ref="H306:H307"/>
    <mergeCell ref="J306:J307"/>
    <mergeCell ref="K306:K307"/>
    <mergeCell ref="L306:L307"/>
    <mergeCell ref="J305:L305"/>
    <mergeCell ref="M305:N305"/>
    <mergeCell ref="P305:R305"/>
    <mergeCell ref="T302:U303"/>
    <mergeCell ref="H304:L304"/>
    <mergeCell ref="M304:N304"/>
    <mergeCell ref="O304:R304"/>
    <mergeCell ref="T304:U304"/>
    <mergeCell ref="T305:U305"/>
    <mergeCell ref="H305:I305"/>
    <mergeCell ref="B303:B304"/>
    <mergeCell ref="C303:C304"/>
    <mergeCell ref="D303:D304"/>
    <mergeCell ref="G303:G304"/>
    <mergeCell ref="E304:F304"/>
    <mergeCell ref="T299:U301"/>
    <mergeCell ref="L300:L301"/>
    <mergeCell ref="M300:M301"/>
    <mergeCell ref="N300:N301"/>
    <mergeCell ref="O300:O301"/>
    <mergeCell ref="P300:P301"/>
    <mergeCell ref="Q300:Q301"/>
    <mergeCell ref="R300:R301"/>
    <mergeCell ref="S300:S301"/>
    <mergeCell ref="N298:O298"/>
    <mergeCell ref="P298:Q298"/>
    <mergeCell ref="H299:P299"/>
    <mergeCell ref="Q299:R299"/>
    <mergeCell ref="A298:A327"/>
    <mergeCell ref="B298:B301"/>
    <mergeCell ref="C298:C299"/>
    <mergeCell ref="D298:E298"/>
    <mergeCell ref="D311:D313"/>
    <mergeCell ref="E311:E312"/>
    <mergeCell ref="C313:C314"/>
    <mergeCell ref="B307:B308"/>
    <mergeCell ref="C307:C308"/>
    <mergeCell ref="D307:D309"/>
    <mergeCell ref="T294:U294"/>
    <mergeCell ref="T295:U295"/>
    <mergeCell ref="F297:F301"/>
    <mergeCell ref="G297:G299"/>
    <mergeCell ref="H297:J297"/>
    <mergeCell ref="K297:O297"/>
    <mergeCell ref="P297:S297"/>
    <mergeCell ref="T297:U297"/>
    <mergeCell ref="H298:K298"/>
    <mergeCell ref="L298:M298"/>
    <mergeCell ref="R290:R291"/>
    <mergeCell ref="S290:S292"/>
    <mergeCell ref="H291:L291"/>
    <mergeCell ref="M293:N293"/>
    <mergeCell ref="O293:O294"/>
    <mergeCell ref="H288:L288"/>
    <mergeCell ref="M288:N288"/>
    <mergeCell ref="Q288:R288"/>
    <mergeCell ref="B289:E289"/>
    <mergeCell ref="L283:O283"/>
    <mergeCell ref="P283:P285"/>
    <mergeCell ref="T283:U283"/>
    <mergeCell ref="B284:B285"/>
    <mergeCell ref="F284:F286"/>
    <mergeCell ref="T284:U284"/>
    <mergeCell ref="Q285:R285"/>
    <mergeCell ref="Q286:Q287"/>
    <mergeCell ref="T286:U286"/>
    <mergeCell ref="T287:U287"/>
    <mergeCell ref="H283:H285"/>
    <mergeCell ref="I283:I285"/>
    <mergeCell ref="J283:J287"/>
    <mergeCell ref="K283:K285"/>
    <mergeCell ref="M281:N281"/>
    <mergeCell ref="O281:P281"/>
    <mergeCell ref="T281:U281"/>
    <mergeCell ref="M282:N282"/>
    <mergeCell ref="T282:U282"/>
    <mergeCell ref="H279:K279"/>
    <mergeCell ref="M279:O279"/>
    <mergeCell ref="Q279:R279"/>
    <mergeCell ref="T279:U280"/>
    <mergeCell ref="E275:E277"/>
    <mergeCell ref="T275:U277"/>
    <mergeCell ref="H278:J278"/>
    <mergeCell ref="K278:L278"/>
    <mergeCell ref="M278:O278"/>
    <mergeCell ref="P278:Q278"/>
    <mergeCell ref="S274:S275"/>
    <mergeCell ref="R274:R275"/>
    <mergeCell ref="F275:F276"/>
    <mergeCell ref="M274:M275"/>
    <mergeCell ref="O274:O275"/>
    <mergeCell ref="P274:P275"/>
    <mergeCell ref="Q274:Q275"/>
    <mergeCell ref="H274:H275"/>
    <mergeCell ref="J274:J275"/>
    <mergeCell ref="K274:K275"/>
    <mergeCell ref="L274:L275"/>
    <mergeCell ref="J273:L273"/>
    <mergeCell ref="M273:N273"/>
    <mergeCell ref="P273:R273"/>
    <mergeCell ref="T270:U271"/>
    <mergeCell ref="H272:L272"/>
    <mergeCell ref="M272:N272"/>
    <mergeCell ref="O272:R272"/>
    <mergeCell ref="T272:U272"/>
    <mergeCell ref="T273:U273"/>
    <mergeCell ref="H273:I273"/>
    <mergeCell ref="B271:B272"/>
    <mergeCell ref="C271:C272"/>
    <mergeCell ref="D271:D272"/>
    <mergeCell ref="G271:G272"/>
    <mergeCell ref="E272:F272"/>
    <mergeCell ref="T267:U269"/>
    <mergeCell ref="L268:L269"/>
    <mergeCell ref="M268:M269"/>
    <mergeCell ref="N268:N269"/>
    <mergeCell ref="O268:O269"/>
    <mergeCell ref="P268:P269"/>
    <mergeCell ref="Q268:Q269"/>
    <mergeCell ref="R268:R269"/>
    <mergeCell ref="S268:S269"/>
    <mergeCell ref="N266:O266"/>
    <mergeCell ref="P266:Q266"/>
    <mergeCell ref="H267:P267"/>
    <mergeCell ref="Q267:R267"/>
    <mergeCell ref="A266:A295"/>
    <mergeCell ref="B266:B269"/>
    <mergeCell ref="C266:C267"/>
    <mergeCell ref="D266:E266"/>
    <mergeCell ref="D279:D281"/>
    <mergeCell ref="E279:E280"/>
    <mergeCell ref="C281:C282"/>
    <mergeCell ref="B275:B276"/>
    <mergeCell ref="C275:C276"/>
    <mergeCell ref="D275:D277"/>
    <mergeCell ref="T262:U262"/>
    <mergeCell ref="T263:U263"/>
    <mergeCell ref="F265:F269"/>
    <mergeCell ref="G265:G267"/>
    <mergeCell ref="H265:J265"/>
    <mergeCell ref="K265:O265"/>
    <mergeCell ref="P265:S265"/>
    <mergeCell ref="T265:U265"/>
    <mergeCell ref="H266:K266"/>
    <mergeCell ref="L266:M266"/>
    <mergeCell ref="R258:R259"/>
    <mergeCell ref="S258:S260"/>
    <mergeCell ref="H259:L259"/>
    <mergeCell ref="M261:N261"/>
    <mergeCell ref="O261:O262"/>
    <mergeCell ref="H256:L256"/>
    <mergeCell ref="M256:N256"/>
    <mergeCell ref="Q256:R256"/>
    <mergeCell ref="B257:E257"/>
    <mergeCell ref="L251:O251"/>
    <mergeCell ref="P251:P253"/>
    <mergeCell ref="T251:U251"/>
    <mergeCell ref="B252:B253"/>
    <mergeCell ref="F252:F254"/>
    <mergeCell ref="T252:U252"/>
    <mergeCell ref="Q253:R253"/>
    <mergeCell ref="Q254:Q255"/>
    <mergeCell ref="T254:U254"/>
    <mergeCell ref="T255:U255"/>
    <mergeCell ref="H251:H253"/>
    <mergeCell ref="I251:I253"/>
    <mergeCell ref="J251:J255"/>
    <mergeCell ref="K251:K253"/>
    <mergeCell ref="M249:N249"/>
    <mergeCell ref="O249:P249"/>
    <mergeCell ref="T249:U249"/>
    <mergeCell ref="M250:N250"/>
    <mergeCell ref="T250:U250"/>
    <mergeCell ref="H247:K247"/>
    <mergeCell ref="M247:O247"/>
    <mergeCell ref="Q247:R247"/>
    <mergeCell ref="T247:U248"/>
    <mergeCell ref="E243:E245"/>
    <mergeCell ref="T243:U245"/>
    <mergeCell ref="H246:J246"/>
    <mergeCell ref="K246:L246"/>
    <mergeCell ref="M246:O246"/>
    <mergeCell ref="P246:Q246"/>
    <mergeCell ref="S242:S243"/>
    <mergeCell ref="R242:R243"/>
    <mergeCell ref="F243:F244"/>
    <mergeCell ref="M242:M243"/>
    <mergeCell ref="O242:O243"/>
    <mergeCell ref="P242:P243"/>
    <mergeCell ref="Q242:Q243"/>
    <mergeCell ref="H242:H243"/>
    <mergeCell ref="J242:J243"/>
    <mergeCell ref="K242:K243"/>
    <mergeCell ref="L242:L243"/>
    <mergeCell ref="J241:L241"/>
    <mergeCell ref="M241:N241"/>
    <mergeCell ref="P241:R241"/>
    <mergeCell ref="T238:U239"/>
    <mergeCell ref="H240:L240"/>
    <mergeCell ref="M240:N240"/>
    <mergeCell ref="O240:R240"/>
    <mergeCell ref="T240:U240"/>
    <mergeCell ref="T241:U241"/>
    <mergeCell ref="H241:I241"/>
    <mergeCell ref="B239:B240"/>
    <mergeCell ref="C239:C240"/>
    <mergeCell ref="D239:D240"/>
    <mergeCell ref="G239:G240"/>
    <mergeCell ref="E240:F240"/>
    <mergeCell ref="T235:U237"/>
    <mergeCell ref="L236:L237"/>
    <mergeCell ref="M236:M237"/>
    <mergeCell ref="N236:N237"/>
    <mergeCell ref="O236:O237"/>
    <mergeCell ref="P236:P237"/>
    <mergeCell ref="Q236:Q237"/>
    <mergeCell ref="R236:R237"/>
    <mergeCell ref="S236:S237"/>
    <mergeCell ref="N234:O234"/>
    <mergeCell ref="P234:Q234"/>
    <mergeCell ref="H235:P235"/>
    <mergeCell ref="Q235:R235"/>
    <mergeCell ref="A234:A263"/>
    <mergeCell ref="B234:B237"/>
    <mergeCell ref="C234:C235"/>
    <mergeCell ref="D234:E234"/>
    <mergeCell ref="D247:D249"/>
    <mergeCell ref="E247:E248"/>
    <mergeCell ref="C249:C250"/>
    <mergeCell ref="B243:B244"/>
    <mergeCell ref="C243:C244"/>
    <mergeCell ref="D243:D245"/>
    <mergeCell ref="T230:U230"/>
    <mergeCell ref="T231:U231"/>
    <mergeCell ref="F233:F237"/>
    <mergeCell ref="G233:G235"/>
    <mergeCell ref="H233:J233"/>
    <mergeCell ref="K233:O233"/>
    <mergeCell ref="P233:S233"/>
    <mergeCell ref="T233:U233"/>
    <mergeCell ref="H234:K234"/>
    <mergeCell ref="L234:M234"/>
    <mergeCell ref="R226:R227"/>
    <mergeCell ref="S226:S228"/>
    <mergeCell ref="H227:L227"/>
    <mergeCell ref="M229:N229"/>
    <mergeCell ref="O229:O230"/>
    <mergeCell ref="H224:L224"/>
    <mergeCell ref="M224:N224"/>
    <mergeCell ref="Q224:R224"/>
    <mergeCell ref="B225:E225"/>
    <mergeCell ref="L219:O219"/>
    <mergeCell ref="P219:P221"/>
    <mergeCell ref="T219:U219"/>
    <mergeCell ref="B220:B221"/>
    <mergeCell ref="F220:F222"/>
    <mergeCell ref="T220:U220"/>
    <mergeCell ref="Q221:R221"/>
    <mergeCell ref="Q222:Q223"/>
    <mergeCell ref="T222:U222"/>
    <mergeCell ref="T223:U223"/>
    <mergeCell ref="H219:H221"/>
    <mergeCell ref="I219:I221"/>
    <mergeCell ref="J219:J223"/>
    <mergeCell ref="K219:K221"/>
    <mergeCell ref="M217:N217"/>
    <mergeCell ref="O217:P217"/>
    <mergeCell ref="T217:U217"/>
    <mergeCell ref="M218:N218"/>
    <mergeCell ref="T218:U218"/>
    <mergeCell ref="H215:K215"/>
    <mergeCell ref="M215:O215"/>
    <mergeCell ref="Q215:R215"/>
    <mergeCell ref="T215:U216"/>
    <mergeCell ref="E211:E213"/>
    <mergeCell ref="T211:U213"/>
    <mergeCell ref="H214:J214"/>
    <mergeCell ref="K214:L214"/>
    <mergeCell ref="M214:O214"/>
    <mergeCell ref="P214:Q214"/>
    <mergeCell ref="S210:S211"/>
    <mergeCell ref="R210:R211"/>
    <mergeCell ref="F211:F212"/>
    <mergeCell ref="M210:M211"/>
    <mergeCell ref="O210:O211"/>
    <mergeCell ref="P210:P211"/>
    <mergeCell ref="Q210:Q211"/>
    <mergeCell ref="H210:H211"/>
    <mergeCell ref="J210:J211"/>
    <mergeCell ref="K210:K211"/>
    <mergeCell ref="L210:L211"/>
    <mergeCell ref="J209:L209"/>
    <mergeCell ref="M209:N209"/>
    <mergeCell ref="P209:R209"/>
    <mergeCell ref="T206:U207"/>
    <mergeCell ref="H208:L208"/>
    <mergeCell ref="M208:N208"/>
    <mergeCell ref="O208:R208"/>
    <mergeCell ref="T208:U208"/>
    <mergeCell ref="T209:U209"/>
    <mergeCell ref="H209:I209"/>
    <mergeCell ref="B207:B208"/>
    <mergeCell ref="C207:C208"/>
    <mergeCell ref="D207:D208"/>
    <mergeCell ref="G207:G208"/>
    <mergeCell ref="E208:F208"/>
    <mergeCell ref="T203:U205"/>
    <mergeCell ref="L204:L205"/>
    <mergeCell ref="M204:M205"/>
    <mergeCell ref="N204:N205"/>
    <mergeCell ref="O204:O205"/>
    <mergeCell ref="P204:P205"/>
    <mergeCell ref="Q204:Q205"/>
    <mergeCell ref="R204:R205"/>
    <mergeCell ref="S204:S205"/>
    <mergeCell ref="N202:O202"/>
    <mergeCell ref="P202:Q202"/>
    <mergeCell ref="H203:P203"/>
    <mergeCell ref="Q203:R203"/>
    <mergeCell ref="A202:A231"/>
    <mergeCell ref="B202:B205"/>
    <mergeCell ref="C202:C203"/>
    <mergeCell ref="D202:E202"/>
    <mergeCell ref="D215:D217"/>
    <mergeCell ref="E215:E216"/>
    <mergeCell ref="C217:C218"/>
    <mergeCell ref="B211:B212"/>
    <mergeCell ref="C211:C212"/>
    <mergeCell ref="D211:D213"/>
    <mergeCell ref="T198:U198"/>
    <mergeCell ref="T199:U199"/>
    <mergeCell ref="F201:F205"/>
    <mergeCell ref="G201:G203"/>
    <mergeCell ref="H201:J201"/>
    <mergeCell ref="K201:O201"/>
    <mergeCell ref="P201:S201"/>
    <mergeCell ref="T201:U201"/>
    <mergeCell ref="H202:K202"/>
    <mergeCell ref="L202:M202"/>
    <mergeCell ref="R194:R195"/>
    <mergeCell ref="S194:S196"/>
    <mergeCell ref="H195:L195"/>
    <mergeCell ref="M197:N197"/>
    <mergeCell ref="O197:O198"/>
    <mergeCell ref="H192:L192"/>
    <mergeCell ref="M192:N192"/>
    <mergeCell ref="Q192:R192"/>
    <mergeCell ref="B193:E193"/>
    <mergeCell ref="L187:O187"/>
    <mergeCell ref="P187:P189"/>
    <mergeCell ref="T187:U187"/>
    <mergeCell ref="B188:B189"/>
    <mergeCell ref="F188:F190"/>
    <mergeCell ref="T188:U188"/>
    <mergeCell ref="Q189:R189"/>
    <mergeCell ref="Q190:Q191"/>
    <mergeCell ref="T190:U190"/>
    <mergeCell ref="T191:U191"/>
    <mergeCell ref="H187:H189"/>
    <mergeCell ref="I187:I189"/>
    <mergeCell ref="J187:J191"/>
    <mergeCell ref="K187:K189"/>
    <mergeCell ref="M185:N185"/>
    <mergeCell ref="O185:P185"/>
    <mergeCell ref="T185:U185"/>
    <mergeCell ref="M186:N186"/>
    <mergeCell ref="T186:U186"/>
    <mergeCell ref="H183:K183"/>
    <mergeCell ref="M183:O183"/>
    <mergeCell ref="Q183:R183"/>
    <mergeCell ref="T183:U184"/>
    <mergeCell ref="E179:E181"/>
    <mergeCell ref="T179:U181"/>
    <mergeCell ref="H182:J182"/>
    <mergeCell ref="K182:L182"/>
    <mergeCell ref="M182:O182"/>
    <mergeCell ref="P182:Q182"/>
    <mergeCell ref="S178:S179"/>
    <mergeCell ref="R178:R179"/>
    <mergeCell ref="F179:F180"/>
    <mergeCell ref="M178:M179"/>
    <mergeCell ref="O178:O179"/>
    <mergeCell ref="P178:P179"/>
    <mergeCell ref="Q178:Q179"/>
    <mergeCell ref="H178:H179"/>
    <mergeCell ref="J178:J179"/>
    <mergeCell ref="K178:K179"/>
    <mergeCell ref="L178:L179"/>
    <mergeCell ref="J177:L177"/>
    <mergeCell ref="M177:N177"/>
    <mergeCell ref="P177:R177"/>
    <mergeCell ref="T174:U175"/>
    <mergeCell ref="H176:L176"/>
    <mergeCell ref="M176:N176"/>
    <mergeCell ref="O176:R176"/>
    <mergeCell ref="T176:U176"/>
    <mergeCell ref="T177:U177"/>
    <mergeCell ref="H177:I177"/>
    <mergeCell ref="B175:B176"/>
    <mergeCell ref="C175:C176"/>
    <mergeCell ref="D175:D176"/>
    <mergeCell ref="G175:G176"/>
    <mergeCell ref="E176:F176"/>
    <mergeCell ref="T171:U173"/>
    <mergeCell ref="L172:L173"/>
    <mergeCell ref="M172:M173"/>
    <mergeCell ref="N172:N173"/>
    <mergeCell ref="O172:O173"/>
    <mergeCell ref="P172:P173"/>
    <mergeCell ref="Q172:Q173"/>
    <mergeCell ref="R172:R173"/>
    <mergeCell ref="S172:S173"/>
    <mergeCell ref="N170:O170"/>
    <mergeCell ref="P170:Q170"/>
    <mergeCell ref="H171:P171"/>
    <mergeCell ref="Q171:R171"/>
    <mergeCell ref="A170:A199"/>
    <mergeCell ref="B170:B173"/>
    <mergeCell ref="C170:C171"/>
    <mergeCell ref="D170:E170"/>
    <mergeCell ref="D183:D185"/>
    <mergeCell ref="E183:E184"/>
    <mergeCell ref="C185:C186"/>
    <mergeCell ref="B179:B180"/>
    <mergeCell ref="C179:C180"/>
    <mergeCell ref="D179:D181"/>
    <mergeCell ref="T166:U166"/>
    <mergeCell ref="T167:U167"/>
    <mergeCell ref="F169:F173"/>
    <mergeCell ref="G169:G171"/>
    <mergeCell ref="H169:J169"/>
    <mergeCell ref="K169:O169"/>
    <mergeCell ref="P169:S169"/>
    <mergeCell ref="T169:U169"/>
    <mergeCell ref="H170:K170"/>
    <mergeCell ref="L170:M170"/>
    <mergeCell ref="R162:R163"/>
    <mergeCell ref="S162:S164"/>
    <mergeCell ref="H163:L163"/>
    <mergeCell ref="M165:N165"/>
    <mergeCell ref="O165:O166"/>
    <mergeCell ref="H160:L160"/>
    <mergeCell ref="M160:N160"/>
    <mergeCell ref="Q160:R160"/>
    <mergeCell ref="B161:E161"/>
    <mergeCell ref="L155:O155"/>
    <mergeCell ref="P155:P157"/>
    <mergeCell ref="T155:U155"/>
    <mergeCell ref="B156:B157"/>
    <mergeCell ref="F156:F158"/>
    <mergeCell ref="T156:U156"/>
    <mergeCell ref="Q157:R157"/>
    <mergeCell ref="Q158:Q159"/>
    <mergeCell ref="T158:U158"/>
    <mergeCell ref="T159:U159"/>
    <mergeCell ref="H155:H157"/>
    <mergeCell ref="I155:I157"/>
    <mergeCell ref="J155:J159"/>
    <mergeCell ref="K155:K157"/>
    <mergeCell ref="M153:N153"/>
    <mergeCell ref="O153:P153"/>
    <mergeCell ref="T153:U153"/>
    <mergeCell ref="M154:N154"/>
    <mergeCell ref="T154:U154"/>
    <mergeCell ref="H151:K151"/>
    <mergeCell ref="M151:O151"/>
    <mergeCell ref="Q151:R151"/>
    <mergeCell ref="T151:U152"/>
    <mergeCell ref="E147:E149"/>
    <mergeCell ref="T147:U149"/>
    <mergeCell ref="H150:J150"/>
    <mergeCell ref="K150:L150"/>
    <mergeCell ref="M150:O150"/>
    <mergeCell ref="P150:Q150"/>
    <mergeCell ref="S146:S147"/>
    <mergeCell ref="R146:R147"/>
    <mergeCell ref="F147:F148"/>
    <mergeCell ref="M146:M147"/>
    <mergeCell ref="O146:O147"/>
    <mergeCell ref="P146:P147"/>
    <mergeCell ref="Q146:Q147"/>
    <mergeCell ref="H146:H147"/>
    <mergeCell ref="J146:J147"/>
    <mergeCell ref="K146:K147"/>
    <mergeCell ref="L146:L147"/>
    <mergeCell ref="J145:L145"/>
    <mergeCell ref="M145:N145"/>
    <mergeCell ref="P145:R145"/>
    <mergeCell ref="T142:U143"/>
    <mergeCell ref="H144:L144"/>
    <mergeCell ref="M144:N144"/>
    <mergeCell ref="O144:R144"/>
    <mergeCell ref="T144:U144"/>
    <mergeCell ref="T145:U145"/>
    <mergeCell ref="H145:I145"/>
    <mergeCell ref="B143:B144"/>
    <mergeCell ref="C143:C144"/>
    <mergeCell ref="D143:D144"/>
    <mergeCell ref="G143:G144"/>
    <mergeCell ref="E144:F144"/>
    <mergeCell ref="T139:U141"/>
    <mergeCell ref="L140:L141"/>
    <mergeCell ref="M140:M141"/>
    <mergeCell ref="N140:N141"/>
    <mergeCell ref="O140:O141"/>
    <mergeCell ref="P140:P141"/>
    <mergeCell ref="Q140:Q141"/>
    <mergeCell ref="R140:R141"/>
    <mergeCell ref="S140:S141"/>
    <mergeCell ref="N138:O138"/>
    <mergeCell ref="P138:Q138"/>
    <mergeCell ref="H139:P139"/>
    <mergeCell ref="Q139:R139"/>
    <mergeCell ref="A138:A167"/>
    <mergeCell ref="B138:B141"/>
    <mergeCell ref="C138:C139"/>
    <mergeCell ref="D138:E138"/>
    <mergeCell ref="D151:D153"/>
    <mergeCell ref="E151:E152"/>
    <mergeCell ref="C153:C154"/>
    <mergeCell ref="B147:B148"/>
    <mergeCell ref="C147:C148"/>
    <mergeCell ref="D147:D149"/>
    <mergeCell ref="T134:U134"/>
    <mergeCell ref="T135:U135"/>
    <mergeCell ref="F137:F141"/>
    <mergeCell ref="G137:G139"/>
    <mergeCell ref="H137:J137"/>
    <mergeCell ref="K137:O137"/>
    <mergeCell ref="P137:S137"/>
    <mergeCell ref="T137:U137"/>
    <mergeCell ref="H138:K138"/>
    <mergeCell ref="L138:M138"/>
    <mergeCell ref="R130:R131"/>
    <mergeCell ref="S130:S132"/>
    <mergeCell ref="H131:L131"/>
    <mergeCell ref="M133:N133"/>
    <mergeCell ref="O133:O134"/>
    <mergeCell ref="H128:L128"/>
    <mergeCell ref="M128:N128"/>
    <mergeCell ref="Q128:R128"/>
    <mergeCell ref="B129:E129"/>
    <mergeCell ref="L123:O123"/>
    <mergeCell ref="P123:P125"/>
    <mergeCell ref="T123:U123"/>
    <mergeCell ref="B124:B125"/>
    <mergeCell ref="F124:F126"/>
    <mergeCell ref="T124:U124"/>
    <mergeCell ref="Q125:R125"/>
    <mergeCell ref="Q126:Q127"/>
    <mergeCell ref="T126:U126"/>
    <mergeCell ref="T127:U127"/>
    <mergeCell ref="H123:H125"/>
    <mergeCell ref="I123:I125"/>
    <mergeCell ref="J123:J127"/>
    <mergeCell ref="K123:K125"/>
    <mergeCell ref="M121:N121"/>
    <mergeCell ref="O121:P121"/>
    <mergeCell ref="T121:U121"/>
    <mergeCell ref="M122:N122"/>
    <mergeCell ref="T122:U122"/>
    <mergeCell ref="H119:K119"/>
    <mergeCell ref="M119:O119"/>
    <mergeCell ref="Q119:R119"/>
    <mergeCell ref="T119:U120"/>
    <mergeCell ref="E115:E117"/>
    <mergeCell ref="T115:U117"/>
    <mergeCell ref="H118:J118"/>
    <mergeCell ref="K118:L118"/>
    <mergeCell ref="M118:O118"/>
    <mergeCell ref="P118:Q118"/>
    <mergeCell ref="S114:S115"/>
    <mergeCell ref="R114:R115"/>
    <mergeCell ref="F115:F116"/>
    <mergeCell ref="M114:M115"/>
    <mergeCell ref="O114:O115"/>
    <mergeCell ref="P114:P115"/>
    <mergeCell ref="Q114:Q115"/>
    <mergeCell ref="H114:H115"/>
    <mergeCell ref="J114:J115"/>
    <mergeCell ref="K114:K115"/>
    <mergeCell ref="L114:L115"/>
    <mergeCell ref="J113:L113"/>
    <mergeCell ref="M113:N113"/>
    <mergeCell ref="P113:R113"/>
    <mergeCell ref="T110:U111"/>
    <mergeCell ref="H112:L112"/>
    <mergeCell ref="M112:N112"/>
    <mergeCell ref="O112:R112"/>
    <mergeCell ref="T112:U112"/>
    <mergeCell ref="T113:U113"/>
    <mergeCell ref="H113:I113"/>
    <mergeCell ref="B111:B112"/>
    <mergeCell ref="C111:C112"/>
    <mergeCell ref="D111:D112"/>
    <mergeCell ref="G111:G112"/>
    <mergeCell ref="E112:F112"/>
    <mergeCell ref="T107:U109"/>
    <mergeCell ref="L108:L109"/>
    <mergeCell ref="M108:M109"/>
    <mergeCell ref="N108:N109"/>
    <mergeCell ref="O108:O109"/>
    <mergeCell ref="P108:P109"/>
    <mergeCell ref="Q108:Q109"/>
    <mergeCell ref="R108:R109"/>
    <mergeCell ref="S108:S109"/>
    <mergeCell ref="N106:O106"/>
    <mergeCell ref="P106:Q106"/>
    <mergeCell ref="H107:P107"/>
    <mergeCell ref="Q107:R107"/>
    <mergeCell ref="A106:A135"/>
    <mergeCell ref="B106:B109"/>
    <mergeCell ref="C106:C107"/>
    <mergeCell ref="D106:E106"/>
    <mergeCell ref="D119:D121"/>
    <mergeCell ref="E119:E120"/>
    <mergeCell ref="C121:C122"/>
    <mergeCell ref="B115:B116"/>
    <mergeCell ref="C115:C116"/>
    <mergeCell ref="D115:D117"/>
    <mergeCell ref="T102:U102"/>
    <mergeCell ref="T103:U103"/>
    <mergeCell ref="F105:F109"/>
    <mergeCell ref="G105:G107"/>
    <mergeCell ref="H105:J105"/>
    <mergeCell ref="K105:O105"/>
    <mergeCell ref="P105:S105"/>
    <mergeCell ref="T105:U105"/>
    <mergeCell ref="H106:K106"/>
    <mergeCell ref="L106:M106"/>
    <mergeCell ref="R98:R99"/>
    <mergeCell ref="S98:S100"/>
    <mergeCell ref="H99:L99"/>
    <mergeCell ref="M101:N101"/>
    <mergeCell ref="O101:O102"/>
    <mergeCell ref="H96:L96"/>
    <mergeCell ref="M96:N96"/>
    <mergeCell ref="Q96:R96"/>
    <mergeCell ref="B97:E97"/>
    <mergeCell ref="L91:O91"/>
    <mergeCell ref="P91:P93"/>
    <mergeCell ref="T91:U91"/>
    <mergeCell ref="B92:B93"/>
    <mergeCell ref="F92:F94"/>
    <mergeCell ref="T92:U92"/>
    <mergeCell ref="Q93:R93"/>
    <mergeCell ref="Q94:Q95"/>
    <mergeCell ref="T94:U94"/>
    <mergeCell ref="T95:U95"/>
    <mergeCell ref="H91:H93"/>
    <mergeCell ref="I91:I93"/>
    <mergeCell ref="J91:J95"/>
    <mergeCell ref="K91:K93"/>
    <mergeCell ref="M89:N89"/>
    <mergeCell ref="O89:P89"/>
    <mergeCell ref="T89:U89"/>
    <mergeCell ref="M90:N90"/>
    <mergeCell ref="T90:U90"/>
    <mergeCell ref="H87:K87"/>
    <mergeCell ref="M87:O87"/>
    <mergeCell ref="Q87:R87"/>
    <mergeCell ref="T87:U88"/>
    <mergeCell ref="E83:E85"/>
    <mergeCell ref="T83:U85"/>
    <mergeCell ref="H86:J86"/>
    <mergeCell ref="K86:L86"/>
    <mergeCell ref="M86:O86"/>
    <mergeCell ref="P86:Q86"/>
    <mergeCell ref="S82:S83"/>
    <mergeCell ref="R82:R83"/>
    <mergeCell ref="F83:F84"/>
    <mergeCell ref="M82:M83"/>
    <mergeCell ref="O82:O83"/>
    <mergeCell ref="P82:P83"/>
    <mergeCell ref="Q82:Q83"/>
    <mergeCell ref="H82:H83"/>
    <mergeCell ref="J82:J83"/>
    <mergeCell ref="K82:K83"/>
    <mergeCell ref="L82:L83"/>
    <mergeCell ref="J81:L81"/>
    <mergeCell ref="M81:N81"/>
    <mergeCell ref="P81:R81"/>
    <mergeCell ref="T78:U79"/>
    <mergeCell ref="H80:L80"/>
    <mergeCell ref="M80:N80"/>
    <mergeCell ref="O80:R80"/>
    <mergeCell ref="T80:U80"/>
    <mergeCell ref="T81:U81"/>
    <mergeCell ref="H81:I81"/>
    <mergeCell ref="B79:B80"/>
    <mergeCell ref="C79:C80"/>
    <mergeCell ref="D79:D80"/>
    <mergeCell ref="G79:G80"/>
    <mergeCell ref="E80:F80"/>
    <mergeCell ref="T75:U77"/>
    <mergeCell ref="L76:L77"/>
    <mergeCell ref="M76:M77"/>
    <mergeCell ref="N76:N77"/>
    <mergeCell ref="O76:O77"/>
    <mergeCell ref="P76:P77"/>
    <mergeCell ref="Q76:Q77"/>
    <mergeCell ref="R76:R77"/>
    <mergeCell ref="S76:S77"/>
    <mergeCell ref="N74:O74"/>
    <mergeCell ref="P74:Q74"/>
    <mergeCell ref="H75:P75"/>
    <mergeCell ref="Q75:R75"/>
    <mergeCell ref="A74:A103"/>
    <mergeCell ref="B74:B77"/>
    <mergeCell ref="C74:C75"/>
    <mergeCell ref="D74:E74"/>
    <mergeCell ref="D87:D89"/>
    <mergeCell ref="E87:E88"/>
    <mergeCell ref="C89:C90"/>
    <mergeCell ref="B83:B84"/>
    <mergeCell ref="C83:C84"/>
    <mergeCell ref="D83:D85"/>
    <mergeCell ref="T70:U70"/>
    <mergeCell ref="T71:U71"/>
    <mergeCell ref="F73:F77"/>
    <mergeCell ref="G73:G75"/>
    <mergeCell ref="H73:J73"/>
    <mergeCell ref="K73:O73"/>
    <mergeCell ref="P73:S73"/>
    <mergeCell ref="T73:U73"/>
    <mergeCell ref="H74:K74"/>
    <mergeCell ref="L74:M74"/>
    <mergeCell ref="R66:R67"/>
    <mergeCell ref="S66:S68"/>
    <mergeCell ref="H67:L67"/>
    <mergeCell ref="M69:N69"/>
    <mergeCell ref="O69:O70"/>
    <mergeCell ref="H64:L64"/>
    <mergeCell ref="M64:N64"/>
    <mergeCell ref="Q64:R64"/>
    <mergeCell ref="B65:E65"/>
    <mergeCell ref="L59:O59"/>
    <mergeCell ref="P59:P61"/>
    <mergeCell ref="T59:U59"/>
    <mergeCell ref="B60:B61"/>
    <mergeCell ref="F60:F62"/>
    <mergeCell ref="T60:U60"/>
    <mergeCell ref="Q61:R61"/>
    <mergeCell ref="Q62:Q63"/>
    <mergeCell ref="T62:U62"/>
    <mergeCell ref="T63:U63"/>
    <mergeCell ref="H59:H61"/>
    <mergeCell ref="I59:I61"/>
    <mergeCell ref="J59:J63"/>
    <mergeCell ref="K59:K61"/>
    <mergeCell ref="M57:N57"/>
    <mergeCell ref="O57:P57"/>
    <mergeCell ref="T57:U57"/>
    <mergeCell ref="M58:N58"/>
    <mergeCell ref="T58:U58"/>
    <mergeCell ref="H55:K55"/>
    <mergeCell ref="M55:O55"/>
    <mergeCell ref="Q55:R55"/>
    <mergeCell ref="T55:U56"/>
    <mergeCell ref="E51:E53"/>
    <mergeCell ref="T51:U53"/>
    <mergeCell ref="H54:J54"/>
    <mergeCell ref="K54:L54"/>
    <mergeCell ref="M54:O54"/>
    <mergeCell ref="P54:Q54"/>
    <mergeCell ref="S50:S51"/>
    <mergeCell ref="R50:R51"/>
    <mergeCell ref="F51:F52"/>
    <mergeCell ref="M50:M51"/>
    <mergeCell ref="O50:O51"/>
    <mergeCell ref="P50:P51"/>
    <mergeCell ref="Q50:Q51"/>
    <mergeCell ref="H50:H51"/>
    <mergeCell ref="J50:J51"/>
    <mergeCell ref="K50:K51"/>
    <mergeCell ref="L50:L51"/>
    <mergeCell ref="J49:L49"/>
    <mergeCell ref="M49:N49"/>
    <mergeCell ref="P49:R49"/>
    <mergeCell ref="T46:U47"/>
    <mergeCell ref="H48:L48"/>
    <mergeCell ref="M48:N48"/>
    <mergeCell ref="O48:R48"/>
    <mergeCell ref="T48:U48"/>
    <mergeCell ref="T49:U49"/>
    <mergeCell ref="H49:I49"/>
    <mergeCell ref="B47:B48"/>
    <mergeCell ref="C47:C48"/>
    <mergeCell ref="D47:D48"/>
    <mergeCell ref="G47:G48"/>
    <mergeCell ref="E48:F48"/>
    <mergeCell ref="T43:U45"/>
    <mergeCell ref="L44:L45"/>
    <mergeCell ref="M44:M45"/>
    <mergeCell ref="N44:N45"/>
    <mergeCell ref="O44:O45"/>
    <mergeCell ref="P44:P45"/>
    <mergeCell ref="Q44:Q45"/>
    <mergeCell ref="R44:R45"/>
    <mergeCell ref="S44:S45"/>
    <mergeCell ref="N42:O42"/>
    <mergeCell ref="P42:Q42"/>
    <mergeCell ref="H43:P43"/>
    <mergeCell ref="Q43:R43"/>
    <mergeCell ref="A42:A71"/>
    <mergeCell ref="B42:B45"/>
    <mergeCell ref="C42:C43"/>
    <mergeCell ref="D42:E42"/>
    <mergeCell ref="D55:D57"/>
    <mergeCell ref="E55:E56"/>
    <mergeCell ref="C57:C58"/>
    <mergeCell ref="B51:B52"/>
    <mergeCell ref="C51:C52"/>
    <mergeCell ref="D51:D53"/>
    <mergeCell ref="T38:U38"/>
    <mergeCell ref="T39:U39"/>
    <mergeCell ref="F41:F45"/>
    <mergeCell ref="G41:G43"/>
    <mergeCell ref="H41:J41"/>
    <mergeCell ref="K41:O41"/>
    <mergeCell ref="P41:S41"/>
    <mergeCell ref="T41:U41"/>
    <mergeCell ref="H42:K42"/>
    <mergeCell ref="L42:M42"/>
    <mergeCell ref="R34:R35"/>
    <mergeCell ref="S34:S36"/>
    <mergeCell ref="H35:L35"/>
    <mergeCell ref="M37:N37"/>
    <mergeCell ref="O37:O38"/>
    <mergeCell ref="H32:L32"/>
    <mergeCell ref="M32:N32"/>
    <mergeCell ref="Q32:R32"/>
    <mergeCell ref="B33:E33"/>
    <mergeCell ref="L27:O27"/>
    <mergeCell ref="P27:P29"/>
    <mergeCell ref="T27:U27"/>
    <mergeCell ref="B28:B29"/>
    <mergeCell ref="F28:F30"/>
    <mergeCell ref="T28:U28"/>
    <mergeCell ref="Q29:R29"/>
    <mergeCell ref="Q30:Q31"/>
    <mergeCell ref="T30:U30"/>
    <mergeCell ref="T31:U31"/>
    <mergeCell ref="H27:H29"/>
    <mergeCell ref="I27:I29"/>
    <mergeCell ref="J27:J31"/>
    <mergeCell ref="K27:K29"/>
    <mergeCell ref="C25:C26"/>
    <mergeCell ref="M25:N25"/>
    <mergeCell ref="O25:P25"/>
    <mergeCell ref="T25:U25"/>
    <mergeCell ref="M26:N26"/>
    <mergeCell ref="T26:U26"/>
    <mergeCell ref="D23:D25"/>
    <mergeCell ref="E23:E24"/>
    <mergeCell ref="H23:K23"/>
    <mergeCell ref="M23:O23"/>
    <mergeCell ref="T19:U21"/>
    <mergeCell ref="H22:J22"/>
    <mergeCell ref="K22:L22"/>
    <mergeCell ref="M22:O22"/>
    <mergeCell ref="P22:Q22"/>
    <mergeCell ref="S18:S19"/>
    <mergeCell ref="R18:R19"/>
    <mergeCell ref="Q23:R23"/>
    <mergeCell ref="T23:U24"/>
    <mergeCell ref="B19:B20"/>
    <mergeCell ref="C19:C20"/>
    <mergeCell ref="D19:D21"/>
    <mergeCell ref="E19:E21"/>
    <mergeCell ref="F19:F20"/>
    <mergeCell ref="T17:U17"/>
    <mergeCell ref="H18:H19"/>
    <mergeCell ref="J18:J19"/>
    <mergeCell ref="K18:K19"/>
    <mergeCell ref="L18:L19"/>
    <mergeCell ref="M18:M19"/>
    <mergeCell ref="O18:O19"/>
    <mergeCell ref="P18:P19"/>
    <mergeCell ref="Q18:Q19"/>
    <mergeCell ref="H17:I17"/>
    <mergeCell ref="J17:L17"/>
    <mergeCell ref="M17:N17"/>
    <mergeCell ref="P17:R17"/>
    <mergeCell ref="T14:U15"/>
    <mergeCell ref="B15:B16"/>
    <mergeCell ref="C15:C16"/>
    <mergeCell ref="D15:D16"/>
    <mergeCell ref="G15:G16"/>
    <mergeCell ref="E16:F16"/>
    <mergeCell ref="H16:L16"/>
    <mergeCell ref="M16:N16"/>
    <mergeCell ref="O16:R16"/>
    <mergeCell ref="T16:U16"/>
    <mergeCell ref="T11:U13"/>
    <mergeCell ref="L12:L13"/>
    <mergeCell ref="M12:M13"/>
    <mergeCell ref="N12:N13"/>
    <mergeCell ref="O12:O13"/>
    <mergeCell ref="P12:P13"/>
    <mergeCell ref="Q12:Q13"/>
    <mergeCell ref="R12:R13"/>
    <mergeCell ref="S12:S13"/>
    <mergeCell ref="T9:U9"/>
    <mergeCell ref="A10:A39"/>
    <mergeCell ref="B10:B13"/>
    <mergeCell ref="C10:C11"/>
    <mergeCell ref="D10:E10"/>
    <mergeCell ref="H10:K10"/>
    <mergeCell ref="L10:M10"/>
    <mergeCell ref="N10:O10"/>
    <mergeCell ref="P10:Q10"/>
    <mergeCell ref="Q11:R11"/>
    <mergeCell ref="F9:F13"/>
    <mergeCell ref="G9:G11"/>
    <mergeCell ref="H9:J9"/>
    <mergeCell ref="K9:O9"/>
    <mergeCell ref="H11:P11"/>
    <mergeCell ref="P9:S9"/>
    <mergeCell ref="A5:G5"/>
    <mergeCell ref="M6:N6"/>
    <mergeCell ref="N7:U7"/>
    <mergeCell ref="L8:M8"/>
    <mergeCell ref="G1:H1"/>
    <mergeCell ref="J1:K1"/>
    <mergeCell ref="R2:T2"/>
    <mergeCell ref="A3:B3"/>
    <mergeCell ref="D3:E3"/>
    <mergeCell ref="I3:K3"/>
    <mergeCell ref="M3:M4"/>
    <mergeCell ref="S3:T3"/>
    <mergeCell ref="A4:C4"/>
    <mergeCell ref="F4:G4"/>
  </mergeCells>
  <conditionalFormatting sqref="P33 P993 P65 P97 P129 P161 P193 P225 P257 P289 P321 P353 P385 P417 P449 P481 P513 P545 P577 P609 P641 P673 P705 P737 P769 P801 P833 P865 P897 P929 P961">
    <cfRule type="expression" priority="1" dxfId="2" stopIfTrue="1">
      <formula>P35=0</formula>
    </cfRule>
  </conditionalFormatting>
  <conditionalFormatting sqref="H15 H975 H47 H79 H111 H143 H175 H207 H239 H271 H303 H335 H367 H399 H431 H463 H495 H527 H559 H591 H623 H655 H687 H719 H751 H783 H815 H847 H879 H911 H943">
    <cfRule type="expression" priority="2" dxfId="3" stopIfTrue="1">
      <formula>B39&lt;1</formula>
    </cfRule>
    <cfRule type="expression" priority="3" dxfId="2" stopIfTrue="1">
      <formula>G14-B14-B18-B25-B27-C24-D18-F15&lt;&gt;0</formula>
    </cfRule>
  </conditionalFormatting>
  <conditionalFormatting sqref="G38 H997:J997 B982:G982 M976:M977 V742:V743 B974:G974 B978:G978 Q994 V774:V775 V806:V807 V838:V839 V870:V871 V902:V903 V934:V935 V966:V967 B27:E27 B18:G18 O24 M16:M17 G980 L37 L10:M10 V111 V15 B25 V143 Q11:R11 B14:G14 G27 R37:S37 S16 B32:G32 S29:S32 H37:J37 K31:P31 B30 V175 Q26:S26 B985 B987:E987 G987 F985 B990 G30 V207 G990 P10:Q10 B999:D999 F999 D992 Q986:S986 L970:M970 P970:Q970 Q971:R971 V239 J973:K973 L23 S976 O984 L983 R997:S997 L997 K982 I991 K991:P991 Q988:S988 S989:S992 I31 G20 J13:K13 Q34 B22:G22 K22 V271 V70:V71 V38:V39 V303 V335 V367 V399 V102:V103 V79 V431 V463 V495 V527 V559 V47 V591 V623 V655 V687 V719 V751 V783 V815 V847 V879 V911 V943 G59 R69:S69 S48 B64:G64 S61:S64 H69:J69 K63:P63 B62 Q28:S28 Q58:S58 G62 P42:Q42 F25 L55 I63 G52 J45:K45 Q66 F39 B54:G54 K54 Q60:S60 F57 F71 B71:D71 G70 B59:E59 B39:D39 B50:G50 O56 M48:M49 L69 L42:M42 B57 Q43:R43 B46:G46 V134:V135 V166:V167 V198:V199 V230:V231 V262:V263 V294:V295 V326:V327 V358:V359 V390:V391 V422:V423 V454:V455 V486:V487 V518:V519 V550:V551 V582:V583 V614:V615 V646:V647 V678:V679 V710:V711 G91 G123 G155 G187 G219 G251 G283 G315 G347 G379 G411 G443 G475 G507 G539 G571 G603 G635 G667 G699 G731 G763 G795 G827 G859 G891 G923 G955 R101:S101 R133:S133 R165:S165 R197:S197 R229:S229 R261:S261 R293:S293 R325:S325 R357:S357 R389:S389 R421:S421 R453:S453 R485:S485 R517:S517 R549:S549 R581:S581 R613:S613 R645:S645 R677:S677 R709:S709 R741:S741 R773:S773 R805:S805 R837:S837 R869:S869 R901:S901 R933:S933 R965:S965 S80 S112 S144 S176 S208 S240 S272 S304 S336 S368 S400 S432 S464 S496 S528 S560 S592 S624 S656 S688 S720 S752 S784 S816 S848 S880 S912 S944 B96:G96 B128:G128 B160:G160 B192:G192 B224:G224 B256:G256 B288:G288 B320:G320 B352:G352 B384:G384 B416:G416 B448:G448 B480:G480 B512:G512 B544:G544 B576:G576 B608:G608 B640:G640 B672:G672 B704:G704 B736:G736 B768:G768 B800:G800 B832:G832 B864:G864 B896:G896 B928:G928 B960:G960 S93:S96 S125:S128 S157:S160 S189:S192 S221:S224 S253:S256 S285:S288 S317:S320 S349:S352 S381:S384 S413:S416 S445:S448 S477:S480 S509:S512 S541:S544 S573:S576 S605:S608 S637:S640 S669:S672 S701:S704 S733:S736 S765:S768 S797:S800 S829:S832 S861:S864 S893:S896 S925:S928 S957:S960 H101:J101 H133:J133 H165:J165 H197:J197 H229:J229 H261:J261 H293:J293 H325:J325 H357:J357 H389:J389 H421:J421 H453:J453 H485:J485 H517:J517 H549:J549 H581:J581 H613:J613 H645:J645 H677:J677 H709:J709 H741:J741 H773:J773 H805:J805 H837:J837 H869:J869 H901:J901 H933:J933 H965:J965 K95:P95 K127:P127 K159:P159 K191:P191 K223:P223 K255:P255 K287:P287 K319:P319 K351:P351 K383:P383 K415:P415 K447:P447 K479:P479 K511:P511 K543:P543 K575:P575 K607:P607 K639:P639 K671:P671 K703:P703 K735:P735 K767:P767 K799:P799 K831:P831 K863:P863 K895:P895 K927:P927 K959:P959 B94 B126 B158 B190 B222 B254 B286 B318 B350 B382 B414 B446 B478 B510 B542 B574 B606 B638 B670 B702 B734 B766 B798 B830 B862 B894 B926 B958 Q90:S90 Q122:S122 Q154:S154 Q186:S186 Q218:S218 Q250:S250 Q282:S282 Q314:S314 Q346:S346 Q378:S378 Q410:S410 Q442:S442 Q474:S474 Q506:S506 Q538:S538 Q570:S570 Q602:S602 Q634:S634 Q666:S666 Q698:S698 Q730:S730 Q762:S762 Q794:S794 Q826:S826 Q858:S858 Q890:S890 Q922:S922 Q954:S954 G94 G126 G158 G190 G222 G254 G286 G318 G350 G382 G414 G446 G478 G510 G542 G574 G606 G638 G670 G702 G734 G766 G798 G830 G862 G894 G926 G958 P74:Q74 P106:Q106 P138:Q138 P170:Q170 P202:Q202 P234:Q234 P266:Q266 P298:Q298 P330:Q330 P362:Q362 P394:Q394 P426:Q426 P458:Q458 P490:Q490 P522:Q522 P554:Q554 P586:Q586 P618:Q618 P650:Q650 P682:Q682 P714:Q714 P746:Q746 P778:Q778 P810:Q810 P842:Q842 P874:Q874 P906:Q906 P938:Q938 L87 L119 L151 L183 L215 L247 L279 L311 L343 L375 L407 L439 L471 L503 L535 L567 L599 L631 L663 L695 L727 L759 L791 L823 L855 L887 L919 L951 I95 I127 I159 I191 I223 I255 I287 I319 I351 I383 I415 I447 I479 I511 I543 I575 I607 I639 I671 I703 I735 I767 I799 I831 I863 I895 I927 I959 G84 G116 G148 G180 G212 G244 G276 G308 G340 G372 G404 G436 G468 G500 G532 G564 G596 G628 G660 G692 G724 G756 G788 G820 G852 G884 G916 G948 J77:K77 J109:K109 J141:K141 J173:K173 J205:K205 J237:K237 J269:K269 J301:K301 J333:K333 J365:K365 J397:K397 J429:K429 J461:K461 J493:K493 J525:K525 J557:K557 J589:K589 J621:K621 J653:K653 J685:K685 J717:K717 J749:K749 J781:K781 J813:K813 J845:K845 J877:K877 J909:K909 J941:K941 Q98 Q130 Q162 Q194 Q226 Q258 Q290 Q322 Q354 Q386 Q418 Q450 Q482 Q514 Q546 Q578 Q610 Q642 Q674 Q706 Q738 Q770 Q802 Q834 Q866 Q898 Q930 Q962 B86:G86 B118:G118 B150:G150 B182:G182 B214:G214 B246:G246 B278:G278 B310:G310 B342:G342 B374:G374 B406:G406 B438:G438 B470:G470 B502:G502 B534:G534 B566:G566 B598:G598 B630:G630 B662:G662 B694:G694 B726:G726 B758:G758 B790:G790 B822:G822 B854:G854 B886:G886 B918:G918 B950:G950 K86 K118 K150 K182 K214 K246 K278 K310 K342 K374 K406 K438 K470 K502 K534 K566 K598 K630 K662 K694 K726 K758 K790 K822 K854 K886 K918 K950 Q92:S92 Q124:S124 Q156:S156 Q188:S188 Q220:S220 Q252:S252 Q284:S284 Q316:S316 Q348:S348 Q380:S380 Q412:S412 Q444:S444 Q476:S476 Q508:S508 Q540:S540 Q572:S572 Q604:S604 Q636:S636 Q668:S668 Q700:S700 Q732:S732 Q764:S764 Q796:S796 Q828:S828 Q860:S860 Q892:S892 Q924:S924 Q956:S956 F89 F121 F153 F185 F217 F249 F281 F313 F345 F377 F409 F441 F473 F505 F537 F569 F601 F633 F665 F697 F729 F761 F793 F825 F857 F889 F921 F953 F103 F135 F167 F199 F231 F263 F295 F327 F359 F391 F423 F455 F487 F519 F551 F583 F615 F647 F679 F711 F743 F775 F807 F839 F871 F903 F935 F967 B103:D103 B135:D135 B167:D167 B199:D199 B231:D231 B263:D263 B295:D295 B327:D327 B359:D359 B391:D391 B423:D423 B455:D455 B487:D487 B519:D519 B551:D551 B583:D583 B615:D615 B647:D647 B679:D679 B711:D711 B743:D743 B775:D775 B807:D807 B839:D839 B871:D871 B903:D903 B935:D935 B967:D967 G102 G134 G166 G198 G230 G262 G294 G326 G358 G390 G422 G454 G486 G518 G550 G582 G614 G646 G678 G710 G742 G774 G806 G838 G870 G902 G934 G966 B91:E91 B123:E123 B155:E155 B187:E187 B219:E219 B251:E251 B283:E283 B315:E315 B347:E347 B379:E379 B411:E411 B443:E443 B475:E475 B507:E507 B539:E539 B571:E571 B603:E603 B635:E635 B667:E667 B699:E699 B731:E731 B763:E763 B795:E795 B827:E827 B859:E859 B891:E891 B923:E923 B955:E955 B82:G82 B114:G114 B146:G146 B178:G178 B210:G210 B242:G242 B274:G274 B306:G306 B338:G338 B370:G370 B402:G402 B434:G434 B466:G466 B498:G498 B530:G530 B562:G562 B594:G594 B626:G626 B658:G658 B690:G690 B722:G722 B754:G754 B786:G786 B818:G818 B850:G850 B882:G882 B914:G914 B946:G946 O88 O120 O152 O184 O216 O248 O280 O312 O344 O376 O408 O440 O472 O504 O536 O568 O600 O632 O664 O696 O728 O760 O792 O824 O856 O888 O920 O952 M80:M81 M112:M113 M144:M145 M176:M177 M208:M209 M240:M241 M272:M273 M304:M305 M336:M337 M368:M369 M400:M401 M432:M433 M464:M465 M496:M497 M528:M529 M560:M561 M592:M593 M624:M625 M656:M657 M688:M689 M720:M721 M752:M753 M784:M785 M816:M817 M848:M849 M880:M881 M912:M913 M944:M945 L101 L133 L165 L197 L229 L261 L293 L325 L357 L389 L421 L453 L485 L517 L549 L581 L613 L645 L677 L709 L741 L773 L805 L837 L869 L901 L933 L965 L74:M74 L106:M106 L138:M138 L170:M170 L202:M202 L234:M234 L266:M266 L298:M298 L330:M330 L362:M362 L394:M394 L426:M426 L458:M458 L490:M490 L522:M522 L554:M554 L586:M586 L618:M618 L650:M650 L682:M682 L714:M714 L746:M746 L778:M778 L810:M810 L842:M842 L874:M874 L906:M906 L938:M938 B89 B121 B153 B185 B217 B249 B281 B313 B345 B377 B409 B441 B473 B505 B537 B569 B601 B633 B665 B697 B729 B761 B793 B825 B857 B889 B921 B953 Q75:R75 Q107:R107 Q139:R139 Q171:R171 Q203:R203 Q235:R235 Q267:R267 Q299:R299 Q331:R331 Q363:R363 Q395:R395 Q427:R427 Q459:R459 Q491:R491 Q523:R523 Q555:R555 Q587:R587 Q619:R619 Q651:R651 Q683:R683 Q715:R715 Q747:R747 Q779:R779 Q811:R811 Q843:R843 Q875:R875 Q907:R907 Q939:R939 B78:G78 B110:G110 B142:G142">
    <cfRule type="cellIs" priority="4" dxfId="4" operator="greaterThan" stopIfTrue="1">
      <formula>0</formula>
    </cfRule>
    <cfRule type="cellIs" priority="5" dxfId="2" operator="lessThan" stopIfTrue="1">
      <formula>0</formula>
    </cfRule>
  </conditionalFormatting>
  <conditionalFormatting sqref="P35 P995 P67 P99 P131 P163 P195 P227 P259 P291 P323 P355 P387 P419 P451 P483 P515 P547 P579 P611 P643 P675 P707 P739 P771 P803 P835 P867 P899 P931 P963">
    <cfRule type="cellIs" priority="6" dxfId="5" operator="greaterThan" stopIfTrue="1">
      <formula>0</formula>
    </cfRule>
    <cfRule type="cellIs" priority="7" dxfId="2" operator="lessThan" stopIfTrue="1">
      <formula>0</formula>
    </cfRule>
  </conditionalFormatting>
  <conditionalFormatting sqref="H1014 L1014:M1014">
    <cfRule type="expression" priority="8" dxfId="2" stopIfTrue="1">
      <formula>$Q$1045+$R$1045+$S$1045-$O$1040&lt;&gt;$O$1045</formula>
    </cfRule>
  </conditionalFormatting>
  <dataValidations count="4">
    <dataValidation errorStyle="warning" type="list" allowBlank="1" showInputMessage="1" showErrorMessage="1" error="WYBIERZ Z LISTY ROZWIJALNEJ!" sqref="T48:U48 T944:U944 T880:U880 T848:U848 T816:U816 T784:U784 T752:U752 T720:U720 T688:U688 T656:U656 T624:U624 T592:U592 T560:U560 T528:U528 T496:U496 T464:U464 T432:U432 T400:U400 T368:U368 T336:U336 T304:U304 T272:U272 T208:U208 T176:U176 T144:U144 T112:U112 T80:U80 T240:U240 T912:U912">
      <formula1>$W$1:$W$3</formula1>
    </dataValidation>
    <dataValidation errorStyle="warning" type="custom" allowBlank="1" showInputMessage="1" showErrorMessage="1" error="Liczba dni nie może być większa od liczby dni kalendarzowych tego miesiąca!" sqref="D957 D989 D61 D93 D125 D157 D189 D221 D253 D285 D317 D349 D381 D413 D445 D477 D509 D541 D573 D605 D637 D669 D701 D733 D765 D797 D829 D861 D893 D925">
      <formula1>D957&lt;=$U$1</formula1>
    </dataValidation>
    <dataValidation errorStyle="warning" type="custom" allowBlank="1" showInputMessage="1" showErrorMessage="1" error="Liczba godzin nie powinna być większa niż nominalna liczba godzin pracy w miesiącu kalendarzowym! Liczba ta może być większa tylko w niepełnym wymiarze czasu pracy, jeżeli nie jest to praca w nadgodzinach." sqref="B942 B974 B46 B78 B110 B142 B174 B206 B238 B270 B302 B334 B366 B398 B430 B462 B494 B526 B558 B590 B622 B654 B686 B718 B750 B782 B814 B846 B878 B910">
      <formula1>B942&lt;=G942</formula1>
    </dataValidation>
    <dataValidation type="textLength" operator="equal" showInputMessage="1" showErrorMessage="1" promptTitle="Tu są formuły, nie zmieniaj ich!" prompt="Tu są formuły, nie zmieniaj ich!" errorTitle="Tu są formuły, nie zmieniaj ich!" error="Tu są formuły, nie zmieniaj ich!" sqref="A1:AL39">
      <formula1>1000</formula1>
    </dataValidation>
  </dataValidations>
  <printOptions horizontalCentered="1"/>
  <pageMargins left="0.3937007874015748" right="0.3937007874015748" top="0.3937007874015748" bottom="0.3937007874015748" header="0" footer="0"/>
  <pageSetup horizontalDpi="300" verticalDpi="300" orientation="landscape" paperSize="9" scale="1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PROMESA B.H.U. Małgorzata Żukowska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KALKULATOR PRZYBLIŻONYCH CEN USŁUG "PROMESA" B.H.U. Małgorzata Żukowska</dc:title>
  <dc:subject/>
  <dc:creator>Microsoft Corporation</dc:creator>
  <cp:keywords>cennik, koszt, prowadzeni, outsourcing, promesa, kadr,wynagrodze,płac</cp:keywords>
  <dc:description/>
  <cp:lastModifiedBy>ZUS</cp:lastModifiedBy>
  <cp:lastPrinted>2011-11-12T15:50:13Z</cp:lastPrinted>
  <dcterms:created xsi:type="dcterms:W3CDTF">1997-02-26T13:46:56Z</dcterms:created>
  <dcterms:modified xsi:type="dcterms:W3CDTF">2011-11-12T16:03:45Z</dcterms:modified>
  <cp:category>Cennik</cp:category>
  <cp:version/>
  <cp:contentType/>
  <cp:contentStatus/>
</cp:coreProperties>
</file>